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135" windowWidth="23250" windowHeight="12210"/>
  </bookViews>
  <sheets>
    <sheet name="Наставни ансамбл" sheetId="1" r:id="rId1"/>
    <sheet name="Оптерећење са мастером укупно" sheetId="8" state="hidden" r:id="rId2"/>
    <sheet name="Оптерећење без мастера укупно" sheetId="9" state="hidden" r:id="rId3"/>
    <sheet name="Оптерећење без мастера " sheetId="11" state="hidden" r:id="rId4"/>
  </sheets>
  <definedNames>
    <definedName name="_xlnm._FilterDatabase" localSheetId="0" hidden="1">'Наставни ансамбл'!$J$2:$J$1067</definedName>
    <definedName name="_xlnm.Print_Area" localSheetId="0">'Наставни ансамбл'!$A$1:$S$1067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83" i="1" l="1"/>
  <c r="R640" i="1"/>
  <c r="R639" i="1"/>
  <c r="R642" i="1"/>
  <c r="R322" i="1" l="1"/>
  <c r="R321" i="1"/>
  <c r="R241" i="1" l="1"/>
  <c r="R240" i="1"/>
  <c r="R235" i="1"/>
  <c r="R234" i="1"/>
  <c r="R363" i="1"/>
  <c r="R737" i="1"/>
  <c r="R751" i="1"/>
  <c r="R734" i="1"/>
  <c r="R270" i="1"/>
  <c r="R269" i="1"/>
  <c r="R283" i="1"/>
  <c r="R282" i="1"/>
  <c r="H724" i="1" l="1"/>
  <c r="G724" i="1"/>
  <c r="R722" i="1"/>
  <c r="R721" i="1"/>
  <c r="R719" i="1"/>
  <c r="R718" i="1"/>
  <c r="R716" i="1"/>
  <c r="R715" i="1"/>
  <c r="R713" i="1"/>
  <c r="R712" i="1"/>
  <c r="R704" i="1"/>
  <c r="R703" i="1"/>
  <c r="R701" i="1"/>
  <c r="R700" i="1"/>
  <c r="R680" i="1"/>
  <c r="R679" i="1"/>
  <c r="R674" i="1"/>
  <c r="R673" i="1"/>
  <c r="R315" i="1"/>
  <c r="R314" i="1"/>
  <c r="R386" i="1"/>
  <c r="S19" i="1"/>
  <c r="R18" i="1"/>
  <c r="R280" i="1" l="1"/>
  <c r="R522" i="1"/>
  <c r="R437" i="1"/>
  <c r="R151" i="1"/>
  <c r="S426" i="1" l="1"/>
  <c r="R425" i="1"/>
  <c r="G221" i="1" l="1"/>
  <c r="S581" i="1"/>
  <c r="R580" i="1"/>
  <c r="S404" i="1"/>
  <c r="R403" i="1"/>
  <c r="S48" i="1"/>
  <c r="R47" i="1"/>
  <c r="S428" i="1" l="1"/>
  <c r="R427" i="1"/>
  <c r="S220" i="1" l="1"/>
  <c r="R219" i="1"/>
  <c r="R939" i="1" l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H760" i="1"/>
  <c r="G760" i="1"/>
  <c r="R755" i="1"/>
  <c r="R753" i="1"/>
  <c r="R749" i="1"/>
  <c r="R746" i="1"/>
  <c r="R744" i="1"/>
  <c r="R742" i="1"/>
  <c r="R741" i="1"/>
  <c r="R739" i="1"/>
  <c r="R736" i="1"/>
  <c r="R732" i="1"/>
  <c r="R730" i="1"/>
  <c r="H369" i="1"/>
  <c r="R710" i="1"/>
  <c r="R709" i="1"/>
  <c r="R707" i="1"/>
  <c r="R706" i="1"/>
  <c r="R698" i="1"/>
  <c r="R697" i="1"/>
  <c r="R695" i="1"/>
  <c r="R694" i="1"/>
  <c r="R692" i="1"/>
  <c r="R691" i="1"/>
  <c r="R689" i="1"/>
  <c r="R688" i="1"/>
  <c r="R686" i="1"/>
  <c r="R685" i="1"/>
  <c r="R682" i="1"/>
  <c r="R677" i="1"/>
  <c r="R676" i="1"/>
  <c r="R663" i="1"/>
  <c r="R661" i="1"/>
  <c r="R659" i="1"/>
  <c r="R656" i="1"/>
  <c r="R654" i="1"/>
  <c r="R653" i="1"/>
  <c r="R651" i="1"/>
  <c r="R650" i="1"/>
  <c r="R648" i="1"/>
  <c r="R646" i="1"/>
  <c r="R644" i="1"/>
  <c r="R637" i="1"/>
  <c r="H631" i="1"/>
  <c r="G631" i="1"/>
  <c r="R629" i="1"/>
  <c r="R628" i="1"/>
  <c r="R626" i="1"/>
  <c r="R625" i="1"/>
  <c r="R623" i="1"/>
  <c r="R622" i="1"/>
  <c r="R620" i="1"/>
  <c r="R619" i="1"/>
  <c r="R617" i="1"/>
  <c r="R616" i="1"/>
  <c r="R614" i="1"/>
  <c r="R613" i="1"/>
  <c r="R611" i="1"/>
  <c r="R610" i="1"/>
  <c r="R608" i="1"/>
  <c r="R607" i="1"/>
  <c r="R605" i="1"/>
  <c r="R604" i="1"/>
  <c r="R602" i="1"/>
  <c r="R601" i="1"/>
  <c r="R599" i="1"/>
  <c r="R597" i="1"/>
  <c r="R596" i="1"/>
  <c r="R594" i="1"/>
  <c r="H586" i="1"/>
  <c r="G586" i="1"/>
  <c r="S585" i="1"/>
  <c r="R584" i="1"/>
  <c r="S583" i="1"/>
  <c r="R582" i="1"/>
  <c r="S579" i="1"/>
  <c r="R578" i="1"/>
  <c r="S577" i="1"/>
  <c r="R576" i="1"/>
  <c r="S575" i="1"/>
  <c r="R574" i="1"/>
  <c r="S573" i="1"/>
  <c r="R573" i="1"/>
  <c r="S572" i="1"/>
  <c r="R571" i="1"/>
  <c r="S570" i="1"/>
  <c r="R569" i="1"/>
  <c r="S568" i="1"/>
  <c r="R567" i="1"/>
  <c r="S566" i="1"/>
  <c r="R565" i="1"/>
  <c r="S564" i="1"/>
  <c r="R563" i="1"/>
  <c r="S562" i="1"/>
  <c r="R561" i="1"/>
  <c r="S560" i="1"/>
  <c r="R559" i="1"/>
  <c r="S558" i="1"/>
  <c r="R557" i="1"/>
  <c r="S556" i="1"/>
  <c r="R555" i="1"/>
  <c r="S554" i="1"/>
  <c r="R553" i="1"/>
  <c r="S552" i="1"/>
  <c r="R551" i="1"/>
  <c r="S550" i="1"/>
  <c r="R549" i="1"/>
  <c r="H543" i="1"/>
  <c r="G543" i="1"/>
  <c r="S542" i="1"/>
  <c r="R541" i="1"/>
  <c r="S540" i="1"/>
  <c r="R539" i="1"/>
  <c r="S538" i="1"/>
  <c r="R537" i="1"/>
  <c r="S536" i="1"/>
  <c r="R535" i="1"/>
  <c r="S534" i="1"/>
  <c r="R533" i="1"/>
  <c r="S532" i="1"/>
  <c r="R531" i="1"/>
  <c r="S530" i="1"/>
  <c r="R529" i="1"/>
  <c r="S528" i="1"/>
  <c r="R527" i="1"/>
  <c r="S526" i="1"/>
  <c r="R525" i="1"/>
  <c r="S524" i="1"/>
  <c r="R523" i="1"/>
  <c r="S521" i="1"/>
  <c r="R520" i="1"/>
  <c r="S519" i="1"/>
  <c r="R518" i="1"/>
  <c r="S517" i="1"/>
  <c r="R516" i="1"/>
  <c r="S515" i="1"/>
  <c r="R514" i="1"/>
  <c r="S513" i="1"/>
  <c r="R512" i="1"/>
  <c r="S511" i="1"/>
  <c r="R510" i="1"/>
  <c r="S509" i="1"/>
  <c r="R508" i="1"/>
  <c r="S507" i="1"/>
  <c r="R506" i="1"/>
  <c r="S505" i="1"/>
  <c r="R504" i="1"/>
  <c r="S503" i="1"/>
  <c r="R502" i="1"/>
  <c r="S501" i="1"/>
  <c r="R500" i="1"/>
  <c r="S499" i="1"/>
  <c r="R498" i="1"/>
  <c r="S497" i="1"/>
  <c r="R496" i="1"/>
  <c r="S495" i="1"/>
  <c r="R494" i="1"/>
  <c r="S493" i="1"/>
  <c r="R492" i="1"/>
  <c r="S491" i="1"/>
  <c r="R490" i="1"/>
  <c r="S489" i="1"/>
  <c r="R488" i="1"/>
  <c r="S487" i="1"/>
  <c r="R486" i="1"/>
  <c r="S485" i="1"/>
  <c r="R484" i="1"/>
  <c r="S483" i="1"/>
  <c r="R482" i="1"/>
  <c r="S481" i="1"/>
  <c r="R480" i="1"/>
  <c r="S479" i="1"/>
  <c r="R478" i="1"/>
  <c r="S477" i="1"/>
  <c r="R476" i="1"/>
  <c r="S475" i="1"/>
  <c r="R474" i="1"/>
  <c r="S473" i="1"/>
  <c r="R472" i="1"/>
  <c r="S471" i="1"/>
  <c r="R470" i="1"/>
  <c r="S469" i="1"/>
  <c r="R468" i="1"/>
  <c r="S467" i="1"/>
  <c r="R466" i="1"/>
  <c r="H460" i="1"/>
  <c r="G460" i="1"/>
  <c r="S459" i="1"/>
  <c r="R458" i="1"/>
  <c r="S457" i="1"/>
  <c r="R456" i="1"/>
  <c r="S455" i="1"/>
  <c r="R454" i="1"/>
  <c r="S453" i="1"/>
  <c r="R452" i="1"/>
  <c r="S451" i="1"/>
  <c r="R450" i="1"/>
  <c r="S449" i="1"/>
  <c r="R448" i="1"/>
  <c r="S447" i="1"/>
  <c r="R446" i="1"/>
  <c r="S445" i="1"/>
  <c r="R444" i="1"/>
  <c r="S443" i="1"/>
  <c r="R442" i="1"/>
  <c r="S441" i="1"/>
  <c r="R440" i="1"/>
  <c r="S439" i="1"/>
  <c r="R438" i="1"/>
  <c r="S436" i="1"/>
  <c r="R435" i="1"/>
  <c r="S434" i="1"/>
  <c r="R433" i="1"/>
  <c r="S432" i="1"/>
  <c r="R431" i="1"/>
  <c r="S430" i="1"/>
  <c r="R429" i="1"/>
  <c r="S424" i="1"/>
  <c r="R423" i="1"/>
  <c r="S422" i="1"/>
  <c r="R421" i="1"/>
  <c r="S420" i="1"/>
  <c r="R419" i="1"/>
  <c r="S418" i="1"/>
  <c r="R417" i="1"/>
  <c r="S416" i="1"/>
  <c r="R415" i="1"/>
  <c r="S414" i="1"/>
  <c r="R413" i="1"/>
  <c r="S412" i="1"/>
  <c r="R411" i="1"/>
  <c r="S410" i="1"/>
  <c r="R409" i="1"/>
  <c r="S408" i="1"/>
  <c r="R407" i="1"/>
  <c r="S406" i="1"/>
  <c r="R405" i="1"/>
  <c r="S402" i="1"/>
  <c r="R401" i="1"/>
  <c r="S400" i="1"/>
  <c r="R399" i="1"/>
  <c r="S398" i="1"/>
  <c r="R397" i="1"/>
  <c r="S396" i="1"/>
  <c r="R395" i="1"/>
  <c r="S394" i="1"/>
  <c r="R393" i="1"/>
  <c r="S392" i="1"/>
  <c r="R391" i="1"/>
  <c r="S390" i="1"/>
  <c r="R389" i="1"/>
  <c r="S388" i="1"/>
  <c r="R387" i="1"/>
  <c r="S385" i="1"/>
  <c r="R384" i="1"/>
  <c r="S383" i="1"/>
  <c r="R382" i="1"/>
  <c r="S381" i="1"/>
  <c r="R380" i="1"/>
  <c r="S379" i="1"/>
  <c r="R378" i="1"/>
  <c r="R367" i="1"/>
  <c r="R365" i="1"/>
  <c r="R361" i="1"/>
  <c r="R360" i="1"/>
  <c r="R358" i="1"/>
  <c r="R357" i="1"/>
  <c r="R356" i="1"/>
  <c r="R354" i="1"/>
  <c r="R352" i="1"/>
  <c r="R351" i="1"/>
  <c r="R349" i="1"/>
  <c r="R347" i="1"/>
  <c r="R346" i="1"/>
  <c r="R344" i="1"/>
  <c r="R342" i="1"/>
  <c r="R341" i="1"/>
  <c r="H333" i="1"/>
  <c r="G333" i="1"/>
  <c r="R331" i="1"/>
  <c r="R328" i="1"/>
  <c r="R327" i="1"/>
  <c r="R317" i="1"/>
  <c r="R316" i="1"/>
  <c r="R312" i="1"/>
  <c r="R311" i="1"/>
  <c r="R310" i="1"/>
  <c r="R309" i="1"/>
  <c r="H301" i="1"/>
  <c r="G301" i="1"/>
  <c r="R299" i="1"/>
  <c r="R297" i="1"/>
  <c r="R295" i="1"/>
  <c r="R293" i="1"/>
  <c r="R291" i="1"/>
  <c r="R290" i="1"/>
  <c r="R288" i="1"/>
  <c r="R287" i="1"/>
  <c r="R285" i="1"/>
  <c r="R279" i="1"/>
  <c r="R277" i="1"/>
  <c r="R275" i="1"/>
  <c r="R273" i="1"/>
  <c r="R272" i="1"/>
  <c r="R267" i="1"/>
  <c r="R266" i="1"/>
  <c r="R264" i="1"/>
  <c r="R263" i="1"/>
  <c r="H255" i="1"/>
  <c r="G255" i="1"/>
  <c r="R253" i="1"/>
  <c r="R252" i="1"/>
  <c r="R250" i="1"/>
  <c r="R249" i="1"/>
  <c r="R247" i="1"/>
  <c r="R246" i="1"/>
  <c r="R244" i="1"/>
  <c r="R243" i="1"/>
  <c r="R238" i="1"/>
  <c r="R237" i="1"/>
  <c r="R232" i="1"/>
  <c r="R231" i="1"/>
  <c r="R229" i="1"/>
  <c r="R228" i="1"/>
  <c r="H221" i="1"/>
  <c r="S218" i="1"/>
  <c r="R217" i="1"/>
  <c r="S216" i="1"/>
  <c r="R215" i="1"/>
  <c r="S214" i="1"/>
  <c r="R213" i="1"/>
  <c r="S212" i="1"/>
  <c r="R211" i="1"/>
  <c r="S210" i="1"/>
  <c r="R210" i="1"/>
  <c r="S208" i="1"/>
  <c r="R207" i="1"/>
  <c r="S206" i="1"/>
  <c r="R205" i="1"/>
  <c r="S204" i="1"/>
  <c r="R203" i="1"/>
  <c r="S202" i="1"/>
  <c r="R201" i="1"/>
  <c r="S200" i="1"/>
  <c r="R199" i="1"/>
  <c r="S198" i="1"/>
  <c r="R197" i="1"/>
  <c r="S196" i="1"/>
  <c r="R195" i="1"/>
  <c r="S194" i="1"/>
  <c r="R193" i="1"/>
  <c r="S192" i="1"/>
  <c r="R191" i="1"/>
  <c r="S190" i="1"/>
  <c r="R189" i="1"/>
  <c r="S188" i="1"/>
  <c r="R187" i="1"/>
  <c r="S186" i="1"/>
  <c r="R185" i="1"/>
  <c r="H177" i="1"/>
  <c r="G177" i="1"/>
  <c r="S176" i="1"/>
  <c r="R175" i="1"/>
  <c r="S174" i="1"/>
  <c r="R173" i="1"/>
  <c r="S172" i="1"/>
  <c r="R171" i="1"/>
  <c r="S170" i="1"/>
  <c r="R169" i="1"/>
  <c r="S168" i="1"/>
  <c r="R167" i="1"/>
  <c r="S166" i="1"/>
  <c r="R165" i="1"/>
  <c r="S164" i="1"/>
  <c r="R163" i="1"/>
  <c r="S162" i="1"/>
  <c r="R161" i="1"/>
  <c r="S160" i="1"/>
  <c r="R159" i="1"/>
  <c r="S156" i="1"/>
  <c r="R155" i="1"/>
  <c r="S154" i="1"/>
  <c r="R153" i="1"/>
  <c r="S152" i="1"/>
  <c r="R150" i="1"/>
  <c r="S149" i="1"/>
  <c r="R148" i="1"/>
  <c r="S147" i="1"/>
  <c r="R146" i="1"/>
  <c r="S145" i="1"/>
  <c r="R144" i="1"/>
  <c r="S143" i="1"/>
  <c r="R142" i="1"/>
  <c r="S141" i="1"/>
  <c r="R140" i="1"/>
  <c r="S137" i="1"/>
  <c r="R136" i="1"/>
  <c r="S135" i="1"/>
  <c r="R134" i="1"/>
  <c r="S133" i="1"/>
  <c r="R132" i="1"/>
  <c r="S131" i="1"/>
  <c r="R130" i="1"/>
  <c r="S129" i="1"/>
  <c r="R128" i="1"/>
  <c r="S127" i="1"/>
  <c r="R126" i="1"/>
  <c r="S125" i="1"/>
  <c r="R124" i="1"/>
  <c r="S123" i="1"/>
  <c r="R122" i="1"/>
  <c r="S121" i="1"/>
  <c r="R120" i="1"/>
  <c r="S119" i="1"/>
  <c r="R118" i="1"/>
  <c r="S117" i="1"/>
  <c r="R116" i="1"/>
  <c r="S115" i="1"/>
  <c r="R114" i="1"/>
  <c r="S113" i="1"/>
  <c r="R112" i="1"/>
  <c r="S111" i="1"/>
  <c r="R110" i="1"/>
  <c r="S109" i="1"/>
  <c r="R108" i="1"/>
  <c r="S107" i="1"/>
  <c r="R106" i="1"/>
  <c r="S105" i="1"/>
  <c r="R104" i="1"/>
  <c r="R103" i="1"/>
  <c r="S102" i="1"/>
  <c r="R101" i="1"/>
  <c r="S100" i="1"/>
  <c r="R99" i="1"/>
  <c r="H91" i="1"/>
  <c r="G91" i="1"/>
  <c r="S90" i="1"/>
  <c r="R89" i="1"/>
  <c r="S88" i="1"/>
  <c r="R87" i="1"/>
  <c r="S86" i="1"/>
  <c r="R85" i="1"/>
  <c r="S84" i="1"/>
  <c r="R83" i="1"/>
  <c r="S82" i="1"/>
  <c r="R81" i="1"/>
  <c r="S80" i="1"/>
  <c r="R79" i="1"/>
  <c r="S78" i="1"/>
  <c r="R77" i="1"/>
  <c r="S76" i="1"/>
  <c r="R75" i="1"/>
  <c r="S74" i="1"/>
  <c r="R73" i="1"/>
  <c r="S72" i="1"/>
  <c r="R71" i="1"/>
  <c r="S70" i="1"/>
  <c r="R69" i="1"/>
  <c r="S68" i="1"/>
  <c r="R67" i="1"/>
  <c r="S66" i="1"/>
  <c r="R65" i="1"/>
  <c r="S64" i="1"/>
  <c r="R63" i="1"/>
  <c r="S62" i="1"/>
  <c r="R61" i="1"/>
  <c r="S60" i="1"/>
  <c r="R59" i="1"/>
  <c r="S56" i="1"/>
  <c r="R55" i="1"/>
  <c r="S54" i="1"/>
  <c r="R53" i="1"/>
  <c r="S52" i="1"/>
  <c r="R51" i="1"/>
  <c r="S50" i="1"/>
  <c r="R49" i="1"/>
  <c r="S46" i="1"/>
  <c r="R45" i="1"/>
  <c r="S44" i="1"/>
  <c r="R43" i="1"/>
  <c r="S42" i="1"/>
  <c r="R41" i="1"/>
  <c r="S40" i="1"/>
  <c r="R39" i="1"/>
  <c r="S38" i="1"/>
  <c r="R37" i="1"/>
  <c r="S36" i="1"/>
  <c r="R35" i="1"/>
  <c r="S34" i="1"/>
  <c r="R33" i="1"/>
  <c r="S32" i="1"/>
  <c r="R31" i="1"/>
  <c r="S30" i="1"/>
  <c r="R29" i="1"/>
  <c r="S28" i="1"/>
  <c r="R27" i="1"/>
  <c r="S26" i="1"/>
  <c r="R25" i="1"/>
  <c r="S24" i="1"/>
  <c r="R23" i="1"/>
  <c r="S22" i="1"/>
  <c r="R21" i="1"/>
  <c r="R20" i="1"/>
  <c r="S17" i="1"/>
  <c r="R16" i="1"/>
  <c r="S15" i="1"/>
  <c r="R14" i="1"/>
  <c r="G665" i="1" l="1"/>
  <c r="H665" i="1"/>
  <c r="V162" i="11" l="1"/>
  <c r="M162" i="11"/>
  <c r="V161" i="11"/>
  <c r="M161" i="11"/>
  <c r="X161" i="11" l="1"/>
  <c r="Y161" i="11" s="1"/>
  <c r="X162" i="11"/>
  <c r="Y162" i="11" s="1"/>
  <c r="O109" i="11"/>
  <c r="P109" i="11"/>
  <c r="Q109" i="11"/>
  <c r="R109" i="11"/>
  <c r="S109" i="11"/>
  <c r="T109" i="11"/>
  <c r="U109" i="11"/>
  <c r="O110" i="11"/>
  <c r="P110" i="11"/>
  <c r="Q110" i="11"/>
  <c r="R110" i="11"/>
  <c r="S110" i="11"/>
  <c r="T110" i="11"/>
  <c r="U110" i="11"/>
  <c r="Z161" i="11" l="1"/>
  <c r="AA161" i="11" s="1"/>
  <c r="V164" i="11"/>
  <c r="M164" i="11"/>
  <c r="AC161" i="11" l="1"/>
  <c r="AB161" i="11"/>
  <c r="M163" i="11"/>
  <c r="V163" i="11"/>
  <c r="X164" i="11"/>
  <c r="Y164" i="11" s="1"/>
  <c r="V158" i="11"/>
  <c r="V156" i="11"/>
  <c r="V154" i="11"/>
  <c r="V152" i="11"/>
  <c r="V150" i="11"/>
  <c r="V148" i="11"/>
  <c r="V146" i="11"/>
  <c r="V140" i="11"/>
  <c r="V138" i="11"/>
  <c r="V122" i="11"/>
  <c r="V120" i="11"/>
  <c r="V94" i="11"/>
  <c r="V92" i="11"/>
  <c r="V90" i="11"/>
  <c r="V88" i="11"/>
  <c r="V86" i="11"/>
  <c r="V84" i="11"/>
  <c r="V82" i="11"/>
  <c r="V80" i="11"/>
  <c r="V76" i="11"/>
  <c r="V56" i="11"/>
  <c r="W56" i="11" s="1"/>
  <c r="X56" i="11" s="1"/>
  <c r="Y56" i="11" s="1"/>
  <c r="V26" i="11"/>
  <c r="W26" i="11" s="1"/>
  <c r="V10" i="11"/>
  <c r="W10" i="11" s="1"/>
  <c r="V8" i="11"/>
  <c r="M156" i="11"/>
  <c r="M154" i="11"/>
  <c r="M152" i="11"/>
  <c r="M140" i="11"/>
  <c r="M138" i="11"/>
  <c r="X138" i="11" s="1"/>
  <c r="Y138" i="11" s="1"/>
  <c r="M108" i="11"/>
  <c r="M106" i="11"/>
  <c r="M104" i="11"/>
  <c r="M102" i="11"/>
  <c r="M100" i="11"/>
  <c r="M92" i="11"/>
  <c r="M90" i="11"/>
  <c r="M86" i="11"/>
  <c r="V159" i="11"/>
  <c r="V157" i="11"/>
  <c r="V155" i="11"/>
  <c r="V151" i="11"/>
  <c r="V149" i="11"/>
  <c r="V147" i="11"/>
  <c r="V145" i="11"/>
  <c r="V139" i="11"/>
  <c r="V137" i="11"/>
  <c r="V121" i="11"/>
  <c r="V119" i="11"/>
  <c r="V117" i="11"/>
  <c r="V105" i="11"/>
  <c r="V103" i="11"/>
  <c r="V101" i="11"/>
  <c r="V95" i="11"/>
  <c r="V93" i="11"/>
  <c r="V91" i="11"/>
  <c r="V87" i="11"/>
  <c r="V85" i="11"/>
  <c r="V83" i="11"/>
  <c r="V81" i="11"/>
  <c r="V79" i="11"/>
  <c r="V75" i="11"/>
  <c r="V55" i="11"/>
  <c r="W55" i="11" s="1"/>
  <c r="X55" i="11" s="1"/>
  <c r="V35" i="11"/>
  <c r="W35" i="11" s="1"/>
  <c r="V25" i="11"/>
  <c r="W25" i="11" s="1"/>
  <c r="V11" i="11"/>
  <c r="W11" i="11" s="1"/>
  <c r="V7" i="11"/>
  <c r="M159" i="11"/>
  <c r="M157" i="11"/>
  <c r="M145" i="11"/>
  <c r="M139" i="11"/>
  <c r="M117" i="11"/>
  <c r="M107" i="11"/>
  <c r="M105" i="11"/>
  <c r="M103" i="11"/>
  <c r="M101" i="11"/>
  <c r="M99" i="11"/>
  <c r="M95" i="11"/>
  <c r="M91" i="11"/>
  <c r="M87" i="11"/>
  <c r="M81" i="11"/>
  <c r="M31" i="11"/>
  <c r="N31" i="11" s="1"/>
  <c r="V144" i="11"/>
  <c r="M144" i="11"/>
  <c r="V143" i="11"/>
  <c r="M143" i="11"/>
  <c r="V142" i="11"/>
  <c r="M142" i="11"/>
  <c r="V141" i="11"/>
  <c r="M141" i="11"/>
  <c r="V160" i="9"/>
  <c r="V158" i="9"/>
  <c r="V156" i="9"/>
  <c r="V154" i="9"/>
  <c r="V152" i="9"/>
  <c r="V150" i="9"/>
  <c r="V148" i="9"/>
  <c r="V146" i="9"/>
  <c r="V144" i="9"/>
  <c r="V138" i="9"/>
  <c r="V136" i="9"/>
  <c r="V134" i="9"/>
  <c r="V124" i="9"/>
  <c r="V122" i="9"/>
  <c r="V120" i="9"/>
  <c r="V118" i="9"/>
  <c r="V116" i="9"/>
  <c r="V106" i="9"/>
  <c r="V104" i="9"/>
  <c r="V102" i="9"/>
  <c r="V100" i="9"/>
  <c r="V98" i="9"/>
  <c r="V96" i="9"/>
  <c r="V94" i="9"/>
  <c r="V92" i="9"/>
  <c r="V90" i="9"/>
  <c r="V88" i="9"/>
  <c r="V86" i="9"/>
  <c r="V84" i="9"/>
  <c r="V82" i="9"/>
  <c r="V80" i="9"/>
  <c r="V78" i="9"/>
  <c r="V76" i="9"/>
  <c r="V74" i="9"/>
  <c r="V60" i="9"/>
  <c r="W60" i="9" s="1"/>
  <c r="X60" i="9" s="1"/>
  <c r="Y60" i="9" s="1"/>
  <c r="V58" i="9"/>
  <c r="W58" i="9" s="1"/>
  <c r="X58" i="9" s="1"/>
  <c r="Y58" i="9" s="1"/>
  <c r="V56" i="9"/>
  <c r="W56" i="9" s="1"/>
  <c r="X56" i="9" s="1"/>
  <c r="Y56" i="9" s="1"/>
  <c r="V54" i="9"/>
  <c r="W54" i="9" s="1"/>
  <c r="X54" i="9" s="1"/>
  <c r="Y54" i="9" s="1"/>
  <c r="V52" i="9"/>
  <c r="W52" i="9" s="1"/>
  <c r="X52" i="9" s="1"/>
  <c r="Y52" i="9" s="1"/>
  <c r="V46" i="9"/>
  <c r="W46" i="9" s="1"/>
  <c r="V44" i="9"/>
  <c r="W44" i="9" s="1"/>
  <c r="V42" i="9"/>
  <c r="W42" i="9" s="1"/>
  <c r="V40" i="9"/>
  <c r="W40" i="9" s="1"/>
  <c r="V38" i="9"/>
  <c r="W38" i="9" s="1"/>
  <c r="V36" i="9"/>
  <c r="W36" i="9" s="1"/>
  <c r="V34" i="9"/>
  <c r="W34" i="9" s="1"/>
  <c r="V32" i="9"/>
  <c r="W32" i="9" s="1"/>
  <c r="V30" i="9"/>
  <c r="W30" i="9" s="1"/>
  <c r="V28" i="9"/>
  <c r="W28" i="9" s="1"/>
  <c r="V26" i="9"/>
  <c r="W26" i="9" s="1"/>
  <c r="V24" i="9"/>
  <c r="W24" i="9" s="1"/>
  <c r="V22" i="9"/>
  <c r="W22" i="9" s="1"/>
  <c r="V20" i="9"/>
  <c r="W20" i="9" s="1"/>
  <c r="V18" i="9"/>
  <c r="W18" i="9" s="1"/>
  <c r="V16" i="9"/>
  <c r="W16" i="9" s="1"/>
  <c r="V14" i="9"/>
  <c r="W14" i="9" s="1"/>
  <c r="V12" i="9"/>
  <c r="W12" i="9" s="1"/>
  <c r="V10" i="9"/>
  <c r="W10" i="9" s="1"/>
  <c r="V8" i="9"/>
  <c r="M160" i="9"/>
  <c r="M158" i="9"/>
  <c r="M156" i="9"/>
  <c r="M154" i="9"/>
  <c r="M152" i="9"/>
  <c r="M150" i="9"/>
  <c r="M148" i="9"/>
  <c r="M146" i="9"/>
  <c r="M144" i="9"/>
  <c r="M138" i="9"/>
  <c r="M136" i="9"/>
  <c r="M134" i="9"/>
  <c r="M124" i="9"/>
  <c r="M122" i="9"/>
  <c r="M120" i="9"/>
  <c r="M118" i="9"/>
  <c r="M116" i="9"/>
  <c r="M106" i="9"/>
  <c r="M104" i="9"/>
  <c r="M102" i="9"/>
  <c r="M100" i="9"/>
  <c r="M98" i="9"/>
  <c r="M96" i="9"/>
  <c r="M94" i="9"/>
  <c r="M92" i="9"/>
  <c r="M90" i="9"/>
  <c r="M88" i="9"/>
  <c r="M86" i="9"/>
  <c r="M84" i="9"/>
  <c r="M82" i="9"/>
  <c r="M80" i="9"/>
  <c r="M78" i="9"/>
  <c r="M76" i="9"/>
  <c r="M74" i="9"/>
  <c r="M46" i="9"/>
  <c r="N46" i="9" s="1"/>
  <c r="M44" i="9"/>
  <c r="N44" i="9" s="1"/>
  <c r="M42" i="9"/>
  <c r="N42" i="9" s="1"/>
  <c r="M40" i="9"/>
  <c r="N40" i="9" s="1"/>
  <c r="M38" i="9"/>
  <c r="N38" i="9" s="1"/>
  <c r="M36" i="9"/>
  <c r="N36" i="9" s="1"/>
  <c r="M34" i="9"/>
  <c r="N34" i="9" s="1"/>
  <c r="M32" i="9"/>
  <c r="N32" i="9" s="1"/>
  <c r="M30" i="9"/>
  <c r="N30" i="9" s="1"/>
  <c r="M28" i="9"/>
  <c r="N28" i="9" s="1"/>
  <c r="M26" i="9"/>
  <c r="N26" i="9" s="1"/>
  <c r="M24" i="9"/>
  <c r="N24" i="9" s="1"/>
  <c r="M22" i="9"/>
  <c r="N22" i="9" s="1"/>
  <c r="M20" i="9"/>
  <c r="N20" i="9" s="1"/>
  <c r="M18" i="9"/>
  <c r="N18" i="9" s="1"/>
  <c r="M16" i="9"/>
  <c r="N16" i="9" s="1"/>
  <c r="M14" i="9"/>
  <c r="N14" i="9" s="1"/>
  <c r="M12" i="9"/>
  <c r="N12" i="9" s="1"/>
  <c r="M10" i="9"/>
  <c r="N10" i="9" s="1"/>
  <c r="M8" i="9"/>
  <c r="M159" i="9"/>
  <c r="M157" i="9"/>
  <c r="M155" i="9"/>
  <c r="M153" i="9"/>
  <c r="M151" i="9"/>
  <c r="M149" i="9"/>
  <c r="M147" i="9"/>
  <c r="M145" i="9"/>
  <c r="M143" i="9"/>
  <c r="M137" i="9"/>
  <c r="M135" i="9"/>
  <c r="M133" i="9"/>
  <c r="M123" i="9"/>
  <c r="M121" i="9"/>
  <c r="M119" i="9"/>
  <c r="M117" i="9"/>
  <c r="M115" i="9"/>
  <c r="M105" i="9"/>
  <c r="M103" i="9"/>
  <c r="M101" i="9"/>
  <c r="M99" i="9"/>
  <c r="M97" i="9"/>
  <c r="M95" i="9"/>
  <c r="M93" i="9"/>
  <c r="M91" i="9"/>
  <c r="M89" i="9"/>
  <c r="M87" i="9"/>
  <c r="M85" i="9"/>
  <c r="M83" i="9"/>
  <c r="M81" i="9"/>
  <c r="M79" i="9"/>
  <c r="M77" i="9"/>
  <c r="M75" i="9"/>
  <c r="M73" i="9"/>
  <c r="M45" i="9"/>
  <c r="N45" i="9" s="1"/>
  <c r="M43" i="9"/>
  <c r="N43" i="9" s="1"/>
  <c r="M41" i="9"/>
  <c r="N41" i="9" s="1"/>
  <c r="M39" i="9"/>
  <c r="N39" i="9" s="1"/>
  <c r="M37" i="9"/>
  <c r="N37" i="9" s="1"/>
  <c r="M35" i="9"/>
  <c r="N35" i="9" s="1"/>
  <c r="M33" i="9"/>
  <c r="N33" i="9" s="1"/>
  <c r="M31" i="9"/>
  <c r="N31" i="9" s="1"/>
  <c r="M29" i="9"/>
  <c r="N29" i="9" s="1"/>
  <c r="M27" i="9"/>
  <c r="N27" i="9" s="1"/>
  <c r="M25" i="9"/>
  <c r="N25" i="9" s="1"/>
  <c r="M23" i="9"/>
  <c r="N23" i="9" s="1"/>
  <c r="M21" i="9"/>
  <c r="N21" i="9" s="1"/>
  <c r="M19" i="9"/>
  <c r="N19" i="9" s="1"/>
  <c r="M17" i="9"/>
  <c r="N17" i="9" s="1"/>
  <c r="M15" i="9"/>
  <c r="N15" i="9" s="1"/>
  <c r="M13" i="9"/>
  <c r="N13" i="9" s="1"/>
  <c r="M11" i="9"/>
  <c r="N11" i="9" s="1"/>
  <c r="M9" i="9"/>
  <c r="N9" i="9" s="1"/>
  <c r="M7" i="9"/>
  <c r="N7" i="9" s="1"/>
  <c r="V159" i="9"/>
  <c r="V157" i="9"/>
  <c r="V155" i="9"/>
  <c r="V153" i="9"/>
  <c r="V151" i="9"/>
  <c r="V149" i="9"/>
  <c r="V147" i="9"/>
  <c r="V145" i="9"/>
  <c r="V143" i="9"/>
  <c r="V137" i="9"/>
  <c r="V135" i="9"/>
  <c r="V133" i="9"/>
  <c r="V123" i="9"/>
  <c r="V121" i="9"/>
  <c r="V119" i="9"/>
  <c r="V117" i="9"/>
  <c r="V115" i="9"/>
  <c r="V105" i="9"/>
  <c r="V103" i="9"/>
  <c r="V101" i="9"/>
  <c r="V99" i="9"/>
  <c r="V97" i="9"/>
  <c r="V95" i="9"/>
  <c r="V93" i="9"/>
  <c r="V91" i="9"/>
  <c r="V89" i="9"/>
  <c r="V87" i="9"/>
  <c r="V85" i="9"/>
  <c r="V83" i="9"/>
  <c r="V81" i="9"/>
  <c r="V79" i="9"/>
  <c r="V77" i="9"/>
  <c r="V75" i="9"/>
  <c r="V73" i="9"/>
  <c r="V59" i="9"/>
  <c r="W59" i="9" s="1"/>
  <c r="X59" i="9" s="1"/>
  <c r="V57" i="9"/>
  <c r="W57" i="9" s="1"/>
  <c r="X57" i="9" s="1"/>
  <c r="Y57" i="9" s="1"/>
  <c r="V55" i="9"/>
  <c r="W55" i="9" s="1"/>
  <c r="X55" i="9" s="1"/>
  <c r="Y55" i="9" s="1"/>
  <c r="V53" i="9"/>
  <c r="W53" i="9" s="1"/>
  <c r="X53" i="9" s="1"/>
  <c r="Y53" i="9" s="1"/>
  <c r="V51" i="9"/>
  <c r="W51" i="9" s="1"/>
  <c r="X51" i="9" s="1"/>
  <c r="Y51" i="9" s="1"/>
  <c r="V45" i="9"/>
  <c r="V43" i="9"/>
  <c r="W43" i="9" s="1"/>
  <c r="V41" i="9"/>
  <c r="W41" i="9" s="1"/>
  <c r="V39" i="9"/>
  <c r="W39" i="9" s="1"/>
  <c r="V37" i="9"/>
  <c r="W37" i="9" s="1"/>
  <c r="V35" i="9"/>
  <c r="W35" i="9" s="1"/>
  <c r="V33" i="9"/>
  <c r="W33" i="9" s="1"/>
  <c r="V31" i="9"/>
  <c r="W31" i="9" s="1"/>
  <c r="V29" i="9"/>
  <c r="W29" i="9" s="1"/>
  <c r="V27" i="9"/>
  <c r="W27" i="9" s="1"/>
  <c r="V25" i="9"/>
  <c r="W25" i="9" s="1"/>
  <c r="V23" i="9"/>
  <c r="W23" i="9" s="1"/>
  <c r="V21" i="9"/>
  <c r="W21" i="9" s="1"/>
  <c r="V19" i="9"/>
  <c r="W19" i="9" s="1"/>
  <c r="V17" i="9"/>
  <c r="W17" i="9" s="1"/>
  <c r="V15" i="9"/>
  <c r="W15" i="9" s="1"/>
  <c r="V13" i="9"/>
  <c r="W13" i="9" s="1"/>
  <c r="V11" i="9"/>
  <c r="W11" i="9" s="1"/>
  <c r="V9" i="9"/>
  <c r="W9" i="9" s="1"/>
  <c r="V7" i="9"/>
  <c r="V142" i="9"/>
  <c r="M142" i="9"/>
  <c r="V141" i="9"/>
  <c r="M141" i="9"/>
  <c r="V140" i="9"/>
  <c r="M140" i="9"/>
  <c r="V139" i="9"/>
  <c r="M139" i="9"/>
  <c r="W108" i="9"/>
  <c r="W107" i="9"/>
  <c r="N64" i="9"/>
  <c r="N66" i="9" s="1"/>
  <c r="N63" i="9"/>
  <c r="V62" i="9"/>
  <c r="W62" i="9" s="1"/>
  <c r="X62" i="9" s="1"/>
  <c r="Y62" i="9" s="1"/>
  <c r="V61" i="9"/>
  <c r="W61" i="9" s="1"/>
  <c r="X61" i="9" s="1"/>
  <c r="V160" i="8"/>
  <c r="M160" i="8"/>
  <c r="V159" i="8"/>
  <c r="M159" i="8"/>
  <c r="V158" i="8"/>
  <c r="M158" i="8"/>
  <c r="V157" i="8"/>
  <c r="M157" i="8"/>
  <c r="V156" i="8"/>
  <c r="M156" i="8"/>
  <c r="V155" i="8"/>
  <c r="M155" i="8"/>
  <c r="V154" i="8"/>
  <c r="M154" i="8"/>
  <c r="V153" i="8"/>
  <c r="M153" i="8"/>
  <c r="V152" i="8"/>
  <c r="M152" i="8"/>
  <c r="V151" i="8"/>
  <c r="M151" i="8"/>
  <c r="V150" i="8"/>
  <c r="M150" i="8"/>
  <c r="V149" i="8"/>
  <c r="M149" i="8"/>
  <c r="V148" i="8"/>
  <c r="M148" i="8"/>
  <c r="V147" i="8"/>
  <c r="M147" i="8"/>
  <c r="V146" i="8"/>
  <c r="M146" i="8"/>
  <c r="V145" i="8"/>
  <c r="M145" i="8"/>
  <c r="V144" i="8"/>
  <c r="M144" i="8"/>
  <c r="V143" i="8"/>
  <c r="M143" i="8"/>
  <c r="V138" i="8"/>
  <c r="M138" i="8"/>
  <c r="V137" i="8"/>
  <c r="M137" i="8"/>
  <c r="V136" i="8"/>
  <c r="M136" i="8"/>
  <c r="V135" i="8"/>
  <c r="M135" i="8"/>
  <c r="V134" i="8"/>
  <c r="M134" i="8"/>
  <c r="V133" i="8"/>
  <c r="M133" i="8"/>
  <c r="V124" i="8"/>
  <c r="M124" i="8"/>
  <c r="V123" i="8"/>
  <c r="M123" i="8"/>
  <c r="V122" i="8"/>
  <c r="M122" i="8"/>
  <c r="V121" i="8"/>
  <c r="M121" i="8"/>
  <c r="V120" i="8"/>
  <c r="M120" i="8"/>
  <c r="V119" i="8"/>
  <c r="M119" i="8"/>
  <c r="V118" i="8"/>
  <c r="M118" i="8"/>
  <c r="V117" i="8"/>
  <c r="M117" i="8"/>
  <c r="V116" i="8"/>
  <c r="M116" i="8"/>
  <c r="V115" i="8"/>
  <c r="M115" i="8"/>
  <c r="V142" i="8"/>
  <c r="M142" i="8"/>
  <c r="V141" i="8"/>
  <c r="M141" i="8"/>
  <c r="V140" i="8"/>
  <c r="M140" i="8"/>
  <c r="V139" i="8"/>
  <c r="M139" i="8"/>
  <c r="V106" i="8"/>
  <c r="M106" i="8"/>
  <c r="V105" i="8"/>
  <c r="M105" i="8"/>
  <c r="V104" i="8"/>
  <c r="M104" i="8"/>
  <c r="V103" i="8"/>
  <c r="M103" i="8"/>
  <c r="V102" i="8"/>
  <c r="M102" i="8"/>
  <c r="V101" i="8"/>
  <c r="M101" i="8"/>
  <c r="V100" i="8"/>
  <c r="M100" i="8"/>
  <c r="V99" i="8"/>
  <c r="M99" i="8"/>
  <c r="V98" i="8"/>
  <c r="M98" i="8"/>
  <c r="V97" i="8"/>
  <c r="M97" i="8"/>
  <c r="V96" i="8"/>
  <c r="M96" i="8"/>
  <c r="V95" i="8"/>
  <c r="M95" i="8"/>
  <c r="V94" i="8"/>
  <c r="M94" i="8"/>
  <c r="V93" i="8"/>
  <c r="M93" i="8"/>
  <c r="V92" i="8"/>
  <c r="M92" i="8"/>
  <c r="V91" i="8"/>
  <c r="M91" i="8"/>
  <c r="V90" i="8"/>
  <c r="M90" i="8"/>
  <c r="V89" i="8"/>
  <c r="M89" i="8"/>
  <c r="V88" i="8"/>
  <c r="M88" i="8"/>
  <c r="V87" i="8"/>
  <c r="M87" i="8"/>
  <c r="V86" i="8"/>
  <c r="M86" i="8"/>
  <c r="V85" i="8"/>
  <c r="M85" i="8"/>
  <c r="V84" i="8"/>
  <c r="M84" i="8"/>
  <c r="V83" i="8"/>
  <c r="M83" i="8"/>
  <c r="V82" i="8"/>
  <c r="M82" i="8"/>
  <c r="V81" i="8"/>
  <c r="M81" i="8"/>
  <c r="V80" i="8"/>
  <c r="V79" i="8"/>
  <c r="V78" i="8"/>
  <c r="V77" i="8"/>
  <c r="V76" i="8"/>
  <c r="M75" i="8"/>
  <c r="V75" i="8"/>
  <c r="V74" i="8"/>
  <c r="V73" i="8"/>
  <c r="M80" i="8"/>
  <c r="M79" i="8"/>
  <c r="M78" i="8"/>
  <c r="M77" i="8"/>
  <c r="M76" i="8"/>
  <c r="M74" i="8"/>
  <c r="M73" i="8"/>
  <c r="X95" i="11" l="1"/>
  <c r="Y95" i="11" s="1"/>
  <c r="M161" i="8"/>
  <c r="V125" i="8"/>
  <c r="X82" i="9"/>
  <c r="Y82" i="9" s="1"/>
  <c r="X90" i="9"/>
  <c r="Y90" i="9" s="1"/>
  <c r="X98" i="9"/>
  <c r="Y98" i="9" s="1"/>
  <c r="X106" i="9"/>
  <c r="Y106" i="9" s="1"/>
  <c r="X122" i="9"/>
  <c r="Y122" i="9" s="1"/>
  <c r="X138" i="9"/>
  <c r="Y138" i="9" s="1"/>
  <c r="X150" i="9"/>
  <c r="Y150" i="9" s="1"/>
  <c r="X158" i="9"/>
  <c r="Y158" i="9" s="1"/>
  <c r="X137" i="9"/>
  <c r="Y137" i="9" s="1"/>
  <c r="X145" i="11"/>
  <c r="Y145" i="11" s="1"/>
  <c r="X86" i="11"/>
  <c r="Y86" i="11" s="1"/>
  <c r="X101" i="11"/>
  <c r="Y101" i="11" s="1"/>
  <c r="X92" i="11"/>
  <c r="Y92" i="11" s="1"/>
  <c r="X92" i="9"/>
  <c r="Y92" i="9" s="1"/>
  <c r="X100" i="9"/>
  <c r="Y100" i="9" s="1"/>
  <c r="X124" i="9"/>
  <c r="Y124" i="9" s="1"/>
  <c r="X144" i="9"/>
  <c r="Y144" i="9" s="1"/>
  <c r="X152" i="9"/>
  <c r="Y152" i="9" s="1"/>
  <c r="X160" i="9"/>
  <c r="Y160" i="9" s="1"/>
  <c r="X154" i="11"/>
  <c r="Y154" i="11" s="1"/>
  <c r="X105" i="11"/>
  <c r="Y105" i="11" s="1"/>
  <c r="M125" i="8"/>
  <c r="V161" i="8"/>
  <c r="V162" i="8"/>
  <c r="M162" i="8"/>
  <c r="X77" i="9"/>
  <c r="Y77" i="9" s="1"/>
  <c r="X133" i="9"/>
  <c r="Y133" i="9" s="1"/>
  <c r="X145" i="9"/>
  <c r="Y145" i="9" s="1"/>
  <c r="X153" i="9"/>
  <c r="Y153" i="9" s="1"/>
  <c r="X157" i="11"/>
  <c r="Y157" i="11" s="1"/>
  <c r="X81" i="9"/>
  <c r="Y81" i="9" s="1"/>
  <c r="X89" i="9"/>
  <c r="X97" i="9"/>
  <c r="Y97" i="9" s="1"/>
  <c r="X105" i="9"/>
  <c r="X121" i="9"/>
  <c r="Y121" i="9" s="1"/>
  <c r="X149" i="9"/>
  <c r="X157" i="9"/>
  <c r="Y157" i="9" s="1"/>
  <c r="X156" i="9"/>
  <c r="Y156" i="9" s="1"/>
  <c r="X163" i="11"/>
  <c r="Y163" i="11" s="1"/>
  <c r="V126" i="8"/>
  <c r="X73" i="9"/>
  <c r="Y73" i="9" s="1"/>
  <c r="X91" i="11"/>
  <c r="X87" i="9"/>
  <c r="Y87" i="9" s="1"/>
  <c r="X95" i="9"/>
  <c r="Y95" i="9" s="1"/>
  <c r="X103" i="9"/>
  <c r="Y103" i="9" s="1"/>
  <c r="X135" i="9"/>
  <c r="Y135" i="9" s="1"/>
  <c r="X147" i="9"/>
  <c r="Y147" i="9" s="1"/>
  <c r="X155" i="9"/>
  <c r="Y155" i="9" s="1"/>
  <c r="N107" i="9"/>
  <c r="X159" i="9"/>
  <c r="Y159" i="9" s="1"/>
  <c r="X94" i="8"/>
  <c r="X96" i="8"/>
  <c r="X98" i="8"/>
  <c r="X100" i="8"/>
  <c r="X102" i="8"/>
  <c r="X104" i="8"/>
  <c r="X106" i="8"/>
  <c r="M161" i="9"/>
  <c r="X81" i="11"/>
  <c r="Y81" i="11" s="1"/>
  <c r="X93" i="8"/>
  <c r="X95" i="8"/>
  <c r="X97" i="8"/>
  <c r="X99" i="8"/>
  <c r="X101" i="8"/>
  <c r="X103" i="8"/>
  <c r="X105" i="8"/>
  <c r="X83" i="9"/>
  <c r="Y83" i="9" s="1"/>
  <c r="X91" i="9"/>
  <c r="Y91" i="9" s="1"/>
  <c r="X99" i="9"/>
  <c r="Y99" i="9" s="1"/>
  <c r="X123" i="9"/>
  <c r="X143" i="9"/>
  <c r="Y143" i="9" s="1"/>
  <c r="X151" i="9"/>
  <c r="Y151" i="9" s="1"/>
  <c r="X159" i="11"/>
  <c r="Y159" i="11" s="1"/>
  <c r="X156" i="11"/>
  <c r="Y156" i="11" s="1"/>
  <c r="X139" i="11"/>
  <c r="Y139" i="11" s="1"/>
  <c r="X140" i="11"/>
  <c r="Y140" i="11" s="1"/>
  <c r="X152" i="11"/>
  <c r="Y152" i="11" s="1"/>
  <c r="V125" i="9"/>
  <c r="X79" i="9"/>
  <c r="Y79" i="9" s="1"/>
  <c r="X86" i="9"/>
  <c r="Y86" i="9" s="1"/>
  <c r="X94" i="9"/>
  <c r="Y94" i="9" s="1"/>
  <c r="X102" i="9"/>
  <c r="Y102" i="9" s="1"/>
  <c r="X118" i="9"/>
  <c r="Y118" i="9" s="1"/>
  <c r="X134" i="9"/>
  <c r="Y134" i="9" s="1"/>
  <c r="X146" i="9"/>
  <c r="Y146" i="9" s="1"/>
  <c r="X154" i="9"/>
  <c r="Y154" i="9" s="1"/>
  <c r="X136" i="9"/>
  <c r="Y136" i="9" s="1"/>
  <c r="X80" i="9"/>
  <c r="Y80" i="9" s="1"/>
  <c r="M126" i="8"/>
  <c r="X30" i="9"/>
  <c r="Y30" i="9" s="1"/>
  <c r="X26" i="9"/>
  <c r="Y26" i="9" s="1"/>
  <c r="X36" i="9"/>
  <c r="Y36" i="9" s="1"/>
  <c r="X140" i="9"/>
  <c r="Y140" i="9" s="1"/>
  <c r="X142" i="9"/>
  <c r="Y142" i="9" s="1"/>
  <c r="X28" i="9"/>
  <c r="Y28" i="9" s="1"/>
  <c r="N108" i="9"/>
  <c r="X88" i="9"/>
  <c r="Y88" i="9" s="1"/>
  <c r="X96" i="9"/>
  <c r="Y96" i="9" s="1"/>
  <c r="X104" i="9"/>
  <c r="Y104" i="9" s="1"/>
  <c r="X120" i="9"/>
  <c r="Y120" i="9" s="1"/>
  <c r="V162" i="9"/>
  <c r="X148" i="9"/>
  <c r="Y148" i="9" s="1"/>
  <c r="X16" i="9"/>
  <c r="Y16" i="9" s="1"/>
  <c r="X14" i="9"/>
  <c r="Y14" i="9" s="1"/>
  <c r="V64" i="9"/>
  <c r="X78" i="9"/>
  <c r="Y78" i="9" s="1"/>
  <c r="X38" i="9"/>
  <c r="Y38" i="9" s="1"/>
  <c r="X142" i="11"/>
  <c r="Y142" i="11" s="1"/>
  <c r="X144" i="11"/>
  <c r="Y144" i="11" s="1"/>
  <c r="X24" i="9"/>
  <c r="Y24" i="9" s="1"/>
  <c r="X32" i="9"/>
  <c r="Y32" i="9" s="1"/>
  <c r="X34" i="9"/>
  <c r="Y34" i="9" s="1"/>
  <c r="V48" i="9"/>
  <c r="X90" i="11"/>
  <c r="Y90" i="11" s="1"/>
  <c r="X33" i="9"/>
  <c r="Y33" i="9" s="1"/>
  <c r="X141" i="11"/>
  <c r="X143" i="11"/>
  <c r="X139" i="9"/>
  <c r="Y139" i="9" s="1"/>
  <c r="X141" i="9"/>
  <c r="Y141" i="9" s="1"/>
  <c r="X35" i="9"/>
  <c r="Y35" i="9" s="1"/>
  <c r="X37" i="9"/>
  <c r="Y37" i="9" s="1"/>
  <c r="X25" i="9"/>
  <c r="Y25" i="9" s="1"/>
  <c r="X27" i="9"/>
  <c r="X29" i="9"/>
  <c r="W7" i="11"/>
  <c r="W8" i="11"/>
  <c r="Z55" i="11"/>
  <c r="Y55" i="11"/>
  <c r="X87" i="11"/>
  <c r="X103" i="11"/>
  <c r="X117" i="11"/>
  <c r="W64" i="9"/>
  <c r="X20" i="9"/>
  <c r="Y20" i="9" s="1"/>
  <c r="X22" i="9"/>
  <c r="Y22" i="9" s="1"/>
  <c r="X10" i="9"/>
  <c r="Y10" i="9" s="1"/>
  <c r="X18" i="9"/>
  <c r="Y18" i="9" s="1"/>
  <c r="X40" i="9"/>
  <c r="Y40" i="9" s="1"/>
  <c r="X42" i="9"/>
  <c r="Y42" i="9" s="1"/>
  <c r="X44" i="9"/>
  <c r="Y44" i="9" s="1"/>
  <c r="X12" i="9"/>
  <c r="Y12" i="9" s="1"/>
  <c r="X41" i="9"/>
  <c r="X43" i="9"/>
  <c r="V161" i="9"/>
  <c r="X119" i="9"/>
  <c r="Y119" i="9" s="1"/>
  <c r="X31" i="9"/>
  <c r="Y31" i="9" s="1"/>
  <c r="X39" i="9"/>
  <c r="M48" i="9"/>
  <c r="N8" i="9"/>
  <c r="N47" i="9"/>
  <c r="X11" i="9"/>
  <c r="X15" i="9"/>
  <c r="X19" i="9"/>
  <c r="X23" i="9"/>
  <c r="V47" i="9"/>
  <c r="W7" i="9"/>
  <c r="W47" i="9" s="1"/>
  <c r="X9" i="9"/>
  <c r="X13" i="9"/>
  <c r="X17" i="9"/>
  <c r="X21" i="9"/>
  <c r="W8" i="9"/>
  <c r="W48" i="9" s="1"/>
  <c r="Z53" i="9"/>
  <c r="Z59" i="9"/>
  <c r="Y59" i="9"/>
  <c r="Z51" i="9"/>
  <c r="X46" i="9"/>
  <c r="Z57" i="9"/>
  <c r="Z61" i="9"/>
  <c r="Y61" i="9"/>
  <c r="M47" i="9"/>
  <c r="V63" i="9"/>
  <c r="Z55" i="9"/>
  <c r="X84" i="9"/>
  <c r="Y84" i="9" s="1"/>
  <c r="X93" i="9"/>
  <c r="X117" i="9"/>
  <c r="W45" i="9"/>
  <c r="W63" i="9" s="1"/>
  <c r="M125" i="9"/>
  <c r="X115" i="9"/>
  <c r="X116" i="9"/>
  <c r="M126" i="9"/>
  <c r="X74" i="9"/>
  <c r="Y74" i="9" s="1"/>
  <c r="X75" i="9"/>
  <c r="X76" i="9"/>
  <c r="Y76" i="9" s="1"/>
  <c r="X85" i="9"/>
  <c r="X101" i="9"/>
  <c r="V126" i="9"/>
  <c r="M162" i="9"/>
  <c r="X74" i="8"/>
  <c r="X77" i="8"/>
  <c r="X78" i="8"/>
  <c r="X79" i="8"/>
  <c r="X73" i="8"/>
  <c r="X76" i="8"/>
  <c r="X80" i="8"/>
  <c r="X92" i="8"/>
  <c r="X90" i="8"/>
  <c r="X88" i="8"/>
  <c r="X86" i="8"/>
  <c r="X84" i="8"/>
  <c r="X82" i="8"/>
  <c r="X91" i="8"/>
  <c r="X89" i="8"/>
  <c r="X87" i="8"/>
  <c r="X85" i="8"/>
  <c r="X83" i="8"/>
  <c r="X81" i="8"/>
  <c r="X75" i="8"/>
  <c r="Z91" i="11" l="1"/>
  <c r="AC91" i="11" s="1"/>
  <c r="Z105" i="9"/>
  <c r="AA105" i="9" s="1"/>
  <c r="Z149" i="9"/>
  <c r="AC149" i="9" s="1"/>
  <c r="Z137" i="9"/>
  <c r="AA137" i="9" s="1"/>
  <c r="Z89" i="9"/>
  <c r="AA89" i="9" s="1"/>
  <c r="Z97" i="9"/>
  <c r="AC97" i="9" s="1"/>
  <c r="Z123" i="9"/>
  <c r="AA123" i="9" s="1"/>
  <c r="Z121" i="9"/>
  <c r="AA121" i="9" s="1"/>
  <c r="Z157" i="9"/>
  <c r="AB157" i="9" s="1"/>
  <c r="Y149" i="9"/>
  <c r="Z81" i="9"/>
  <c r="AC81" i="9" s="1"/>
  <c r="Z87" i="9"/>
  <c r="AC87" i="9" s="1"/>
  <c r="Y91" i="11"/>
  <c r="Y123" i="9"/>
  <c r="Z159" i="9"/>
  <c r="AB159" i="9" s="1"/>
  <c r="Z153" i="9"/>
  <c r="AA153" i="9" s="1"/>
  <c r="Y89" i="9"/>
  <c r="Y105" i="9"/>
  <c r="Z163" i="11"/>
  <c r="AC163" i="11" s="1"/>
  <c r="Z145" i="9"/>
  <c r="AB145" i="9" s="1"/>
  <c r="Z77" i="9"/>
  <c r="AC77" i="9" s="1"/>
  <c r="V29" i="11"/>
  <c r="W29" i="11" s="1"/>
  <c r="M29" i="11"/>
  <c r="N29" i="11" s="1"/>
  <c r="M148" i="11"/>
  <c r="X148" i="11" s="1"/>
  <c r="Y148" i="11" s="1"/>
  <c r="Z99" i="9"/>
  <c r="AC99" i="9" s="1"/>
  <c r="Z155" i="9"/>
  <c r="AB155" i="9" s="1"/>
  <c r="X162" i="9"/>
  <c r="Z95" i="9"/>
  <c r="AC95" i="9" s="1"/>
  <c r="Z133" i="9"/>
  <c r="AA133" i="9" s="1"/>
  <c r="Z141" i="9"/>
  <c r="AC141" i="9" s="1"/>
  <c r="Z135" i="9"/>
  <c r="AA135" i="9" s="1"/>
  <c r="Z147" i="9"/>
  <c r="AC147" i="9" s="1"/>
  <c r="Z29" i="9"/>
  <c r="AA29" i="9" s="1"/>
  <c r="Z79" i="9"/>
  <c r="AC79" i="9" s="1"/>
  <c r="Z139" i="9"/>
  <c r="AA139" i="9" s="1"/>
  <c r="Z143" i="9"/>
  <c r="AB143" i="9" s="1"/>
  <c r="Z35" i="9"/>
  <c r="AA35" i="9" s="1"/>
  <c r="Y29" i="9"/>
  <c r="X161" i="9"/>
  <c r="Z91" i="9"/>
  <c r="AA91" i="9" s="1"/>
  <c r="Z151" i="9"/>
  <c r="AC151" i="9" s="1"/>
  <c r="Z119" i="9"/>
  <c r="AC119" i="9" s="1"/>
  <c r="Z143" i="11"/>
  <c r="AA143" i="11" s="1"/>
  <c r="Z139" i="11"/>
  <c r="AA139" i="11" s="1"/>
  <c r="Y143" i="11"/>
  <c r="Z43" i="9"/>
  <c r="AA43" i="9" s="1"/>
  <c r="Z25" i="9"/>
  <c r="AC25" i="9" s="1"/>
  <c r="Z103" i="9"/>
  <c r="AA103" i="9" s="1"/>
  <c r="Z37" i="9"/>
  <c r="AB37" i="9" s="1"/>
  <c r="Z33" i="9"/>
  <c r="AC33" i="9" s="1"/>
  <c r="Z41" i="9"/>
  <c r="AA41" i="9" s="1"/>
  <c r="Z27" i="9"/>
  <c r="AB27" i="9" s="1"/>
  <c r="V66" i="9"/>
  <c r="W66" i="9"/>
  <c r="Z141" i="11"/>
  <c r="AB141" i="11" s="1"/>
  <c r="Z39" i="9"/>
  <c r="AC39" i="9" s="1"/>
  <c r="Y141" i="11"/>
  <c r="Y27" i="9"/>
  <c r="Y39" i="9"/>
  <c r="AA55" i="11"/>
  <c r="AC55" i="11"/>
  <c r="AB55" i="11"/>
  <c r="Y117" i="11"/>
  <c r="Y87" i="11"/>
  <c r="Y103" i="11"/>
  <c r="Y43" i="9"/>
  <c r="Y41" i="9"/>
  <c r="Z31" i="9"/>
  <c r="AA31" i="9" s="1"/>
  <c r="V65" i="9"/>
  <c r="Y101" i="9"/>
  <c r="Z101" i="9"/>
  <c r="Y117" i="9"/>
  <c r="Z117" i="9"/>
  <c r="X45" i="9"/>
  <c r="AC59" i="9"/>
  <c r="AB59" i="9"/>
  <c r="AA59" i="9"/>
  <c r="Z85" i="9"/>
  <c r="Y85" i="9"/>
  <c r="X126" i="9"/>
  <c r="Y116" i="9"/>
  <c r="AC55" i="9"/>
  <c r="AB55" i="9"/>
  <c r="AA55" i="9"/>
  <c r="AC61" i="9"/>
  <c r="AB61" i="9"/>
  <c r="AA61" i="9"/>
  <c r="AC53" i="9"/>
  <c r="AB53" i="9"/>
  <c r="AA53" i="9"/>
  <c r="Y13" i="9"/>
  <c r="Z13" i="9"/>
  <c r="Y23" i="9"/>
  <c r="Z23" i="9"/>
  <c r="X125" i="9"/>
  <c r="Z115" i="9"/>
  <c r="Y115" i="9"/>
  <c r="Z73" i="9"/>
  <c r="AC57" i="9"/>
  <c r="AB57" i="9"/>
  <c r="AA57" i="9"/>
  <c r="Z83" i="9"/>
  <c r="Y9" i="9"/>
  <c r="Z9" i="9"/>
  <c r="Y19" i="9"/>
  <c r="Z19" i="9"/>
  <c r="X7" i="9"/>
  <c r="X64" i="9"/>
  <c r="Y46" i="9"/>
  <c r="AC51" i="9"/>
  <c r="AB51" i="9"/>
  <c r="AA51" i="9"/>
  <c r="Y21" i="9"/>
  <c r="Z21" i="9"/>
  <c r="W65" i="9"/>
  <c r="Y15" i="9"/>
  <c r="Z15" i="9"/>
  <c r="N48" i="9"/>
  <c r="N65" i="9" s="1"/>
  <c r="X8" i="9"/>
  <c r="Z75" i="9"/>
  <c r="Y75" i="9"/>
  <c r="Z93" i="9"/>
  <c r="Y93" i="9"/>
  <c r="Y17" i="9"/>
  <c r="Z17" i="9"/>
  <c r="Y11" i="9"/>
  <c r="Z11" i="9"/>
  <c r="X148" i="8"/>
  <c r="Y148" i="8" s="1"/>
  <c r="X147" i="8"/>
  <c r="Y147" i="8" s="1"/>
  <c r="X158" i="8"/>
  <c r="Y158" i="8" s="1"/>
  <c r="X157" i="8"/>
  <c r="Y157" i="8" s="1"/>
  <c r="X156" i="8"/>
  <c r="Y156" i="8" s="1"/>
  <c r="X155" i="8"/>
  <c r="Y155" i="8" s="1"/>
  <c r="Y104" i="8"/>
  <c r="Z103" i="8"/>
  <c r="AC105" i="9" l="1"/>
  <c r="AA91" i="11"/>
  <c r="AB149" i="9"/>
  <c r="AC89" i="9"/>
  <c r="AA97" i="9"/>
  <c r="AA149" i="9"/>
  <c r="AC121" i="9"/>
  <c r="AA87" i="9"/>
  <c r="AB153" i="9"/>
  <c r="AA157" i="9"/>
  <c r="AC145" i="9"/>
  <c r="AC157" i="9"/>
  <c r="AC159" i="9"/>
  <c r="AB39" i="9"/>
  <c r="AC155" i="9"/>
  <c r="AA159" i="9"/>
  <c r="AA81" i="9"/>
  <c r="AA145" i="9"/>
  <c r="AA77" i="9"/>
  <c r="AA147" i="9"/>
  <c r="AB147" i="9"/>
  <c r="AC153" i="9"/>
  <c r="AB139" i="9"/>
  <c r="AA163" i="11"/>
  <c r="AB163" i="11"/>
  <c r="AA95" i="9"/>
  <c r="AB29" i="9"/>
  <c r="AB35" i="9"/>
  <c r="AA27" i="9"/>
  <c r="AA99" i="9"/>
  <c r="AC43" i="9"/>
  <c r="AA141" i="9"/>
  <c r="AB141" i="9"/>
  <c r="AC143" i="9"/>
  <c r="AA155" i="9"/>
  <c r="AC27" i="9"/>
  <c r="AC35" i="9"/>
  <c r="AC29" i="9"/>
  <c r="X29" i="11"/>
  <c r="AA39" i="9"/>
  <c r="AA79" i="9"/>
  <c r="AA33" i="9"/>
  <c r="AA119" i="9"/>
  <c r="AC103" i="9"/>
  <c r="AB33" i="9"/>
  <c r="AB43" i="9"/>
  <c r="Z161" i="9"/>
  <c r="AA143" i="9"/>
  <c r="AA151" i="9"/>
  <c r="AB41" i="9"/>
  <c r="AB151" i="9"/>
  <c r="AC141" i="11"/>
  <c r="AC41" i="9"/>
  <c r="AC139" i="9"/>
  <c r="AC91" i="9"/>
  <c r="AA37" i="9"/>
  <c r="AB143" i="11"/>
  <c r="AC143" i="11"/>
  <c r="AA25" i="9"/>
  <c r="AC37" i="9"/>
  <c r="AB25" i="9"/>
  <c r="AA141" i="11"/>
  <c r="AC31" i="9"/>
  <c r="AB31" i="9"/>
  <c r="AB17" i="9"/>
  <c r="AA17" i="9"/>
  <c r="AC17" i="9"/>
  <c r="X48" i="9"/>
  <c r="X66" i="9" s="1"/>
  <c r="Y8" i="9"/>
  <c r="AB9" i="9"/>
  <c r="AA9" i="9"/>
  <c r="AC9" i="9"/>
  <c r="AC93" i="9"/>
  <c r="AA93" i="9"/>
  <c r="AA75" i="9"/>
  <c r="AC75" i="9"/>
  <c r="AB21" i="9"/>
  <c r="AA21" i="9"/>
  <c r="AC21" i="9"/>
  <c r="AB23" i="9"/>
  <c r="AA23" i="9"/>
  <c r="AC23" i="9"/>
  <c r="X63" i="9"/>
  <c r="Z45" i="9"/>
  <c r="Y45" i="9"/>
  <c r="AA11" i="9"/>
  <c r="AC11" i="9"/>
  <c r="AB11" i="9"/>
  <c r="AB15" i="9"/>
  <c r="AA15" i="9"/>
  <c r="AC15" i="9"/>
  <c r="X47" i="9"/>
  <c r="Y7" i="9"/>
  <c r="Z7" i="9"/>
  <c r="AA83" i="9"/>
  <c r="AC83" i="9"/>
  <c r="Z125" i="9"/>
  <c r="AA115" i="9"/>
  <c r="AC115" i="9"/>
  <c r="AC85" i="9"/>
  <c r="AA85" i="9"/>
  <c r="AC117" i="9"/>
  <c r="AA117" i="9"/>
  <c r="AB19" i="9"/>
  <c r="AA19" i="9"/>
  <c r="AC19" i="9"/>
  <c r="AA13" i="9"/>
  <c r="AC13" i="9"/>
  <c r="AB13" i="9"/>
  <c r="AA73" i="9"/>
  <c r="AC73" i="9"/>
  <c r="AC101" i="9"/>
  <c r="AA101" i="9"/>
  <c r="Z147" i="8"/>
  <c r="AC147" i="8" s="1"/>
  <c r="Z157" i="8"/>
  <c r="AB157" i="8" s="1"/>
  <c r="Z155" i="8"/>
  <c r="AC155" i="8" s="1"/>
  <c r="AA103" i="8"/>
  <c r="AC103" i="8"/>
  <c r="Y103" i="8"/>
  <c r="V62" i="8"/>
  <c r="W62" i="8" s="1"/>
  <c r="X62" i="8" s="1"/>
  <c r="V61" i="8"/>
  <c r="W61" i="8" s="1"/>
  <c r="X61" i="8" s="1"/>
  <c r="Y29" i="11" l="1"/>
  <c r="X65" i="9"/>
  <c r="AB45" i="9"/>
  <c r="AA45" i="9"/>
  <c r="AC45" i="9"/>
  <c r="AB7" i="9"/>
  <c r="AB47" i="9" s="1"/>
  <c r="Z47" i="9"/>
  <c r="AA7" i="9"/>
  <c r="AC7" i="9"/>
  <c r="AC47" i="9" s="1"/>
  <c r="AB147" i="8"/>
  <c r="AA157" i="8"/>
  <c r="AA147" i="8"/>
  <c r="AB155" i="8"/>
  <c r="AC157" i="8"/>
  <c r="AA155" i="8"/>
  <c r="Y62" i="8"/>
  <c r="Y61" i="8"/>
  <c r="Z61" i="8"/>
  <c r="Z63" i="9" l="1"/>
  <c r="Z65" i="9" s="1"/>
  <c r="AB63" i="9"/>
  <c r="AB65" i="9" s="1"/>
  <c r="AC63" i="9"/>
  <c r="AC65" i="9" s="1"/>
  <c r="AC61" i="8"/>
  <c r="AB61" i="8"/>
  <c r="AA61" i="8"/>
  <c r="N63" i="8"/>
  <c r="V60" i="8"/>
  <c r="V59" i="8"/>
  <c r="V58" i="8"/>
  <c r="V57" i="8"/>
  <c r="V56" i="8"/>
  <c r="V55" i="8"/>
  <c r="V54" i="8"/>
  <c r="V53" i="8"/>
  <c r="V52" i="8"/>
  <c r="V51" i="8"/>
  <c r="W51" i="8" s="1"/>
  <c r="X51" i="8" s="1"/>
  <c r="V46" i="8"/>
  <c r="V45" i="8"/>
  <c r="M46" i="8"/>
  <c r="N46" i="8" s="1"/>
  <c r="M45" i="8"/>
  <c r="N45" i="8" s="1"/>
  <c r="V44" i="8"/>
  <c r="V43" i="8"/>
  <c r="M44" i="8"/>
  <c r="N44" i="8" s="1"/>
  <c r="M43" i="8"/>
  <c r="N43" i="8" s="1"/>
  <c r="V42" i="8"/>
  <c r="V41" i="8"/>
  <c r="M42" i="8"/>
  <c r="N42" i="8" s="1"/>
  <c r="M41" i="8"/>
  <c r="N41" i="8" s="1"/>
  <c r="V40" i="8"/>
  <c r="V39" i="8"/>
  <c r="M40" i="8"/>
  <c r="N40" i="8" s="1"/>
  <c r="M39" i="8"/>
  <c r="N39" i="8" s="1"/>
  <c r="V38" i="8"/>
  <c r="V37" i="8"/>
  <c r="M38" i="8"/>
  <c r="N38" i="8" s="1"/>
  <c r="M37" i="8"/>
  <c r="N37" i="8" s="1"/>
  <c r="V36" i="8"/>
  <c r="V35" i="8"/>
  <c r="M36" i="8"/>
  <c r="N36" i="8" s="1"/>
  <c r="M35" i="8"/>
  <c r="N35" i="8" s="1"/>
  <c r="V34" i="8"/>
  <c r="V33" i="8"/>
  <c r="M34" i="8"/>
  <c r="N34" i="8" s="1"/>
  <c r="M33" i="8"/>
  <c r="N33" i="8" s="1"/>
  <c r="V32" i="8"/>
  <c r="V31" i="8"/>
  <c r="M32" i="8"/>
  <c r="N32" i="8" s="1"/>
  <c r="M31" i="8"/>
  <c r="N31" i="8" s="1"/>
  <c r="V30" i="8"/>
  <c r="V29" i="8"/>
  <c r="M30" i="8"/>
  <c r="N30" i="8" s="1"/>
  <c r="M29" i="8"/>
  <c r="N29" i="8" s="1"/>
  <c r="V28" i="8"/>
  <c r="V27" i="8"/>
  <c r="M28" i="8"/>
  <c r="N28" i="8" s="1"/>
  <c r="M27" i="8"/>
  <c r="N27" i="8" s="1"/>
  <c r="V9" i="8"/>
  <c r="V7" i="8"/>
  <c r="V26" i="8"/>
  <c r="M26" i="8"/>
  <c r="N26" i="8" s="1"/>
  <c r="V25" i="8"/>
  <c r="M25" i="8"/>
  <c r="N25" i="8" s="1"/>
  <c r="V18" i="8"/>
  <c r="V17" i="8"/>
  <c r="M18" i="8"/>
  <c r="N18" i="8" s="1"/>
  <c r="V16" i="8"/>
  <c r="V15" i="8"/>
  <c r="M16" i="8"/>
  <c r="N16" i="8" s="1"/>
  <c r="V14" i="8"/>
  <c r="V13" i="8"/>
  <c r="M14" i="8"/>
  <c r="N14" i="8" s="1"/>
  <c r="M13" i="8"/>
  <c r="N13" i="8" s="1"/>
  <c r="V12" i="8"/>
  <c r="V11" i="8"/>
  <c r="M12" i="8"/>
  <c r="N12" i="8" s="1"/>
  <c r="M11" i="8"/>
  <c r="N11" i="8" s="1"/>
  <c r="V10" i="8"/>
  <c r="M10" i="8"/>
  <c r="N10" i="8" s="1"/>
  <c r="V8" i="8"/>
  <c r="M8" i="8"/>
  <c r="N8" i="8" s="1"/>
  <c r="M7" i="8"/>
  <c r="N7" i="8" s="1"/>
  <c r="V20" i="8"/>
  <c r="V19" i="8"/>
  <c r="M20" i="8"/>
  <c r="N20" i="8" s="1"/>
  <c r="M19" i="8"/>
  <c r="N19" i="8" s="1"/>
  <c r="V22" i="8"/>
  <c r="V21" i="8"/>
  <c r="M22" i="8"/>
  <c r="N22" i="8" s="1"/>
  <c r="M21" i="8"/>
  <c r="N21" i="8" s="1"/>
  <c r="V24" i="8"/>
  <c r="V23" i="8"/>
  <c r="M24" i="8"/>
  <c r="N24" i="8" s="1"/>
  <c r="M23" i="8"/>
  <c r="N23" i="8" s="1"/>
  <c r="M15" i="8"/>
  <c r="N15" i="8" s="1"/>
  <c r="M17" i="8"/>
  <c r="N17" i="8" s="1"/>
  <c r="M9" i="8"/>
  <c r="N9" i="8" s="1"/>
  <c r="M48" i="8" l="1"/>
  <c r="M47" i="8"/>
  <c r="X160" i="8"/>
  <c r="Y160" i="8" s="1"/>
  <c r="X159" i="8"/>
  <c r="Y159" i="8" s="1"/>
  <c r="X154" i="8"/>
  <c r="Y154" i="8" s="1"/>
  <c r="X153" i="8"/>
  <c r="X152" i="8"/>
  <c r="Y152" i="8" s="1"/>
  <c r="X151" i="8"/>
  <c r="Y151" i="8" s="1"/>
  <c r="X150" i="8"/>
  <c r="Y150" i="8" s="1"/>
  <c r="X149" i="8"/>
  <c r="Y149" i="8" s="1"/>
  <c r="X146" i="8"/>
  <c r="Y146" i="8" s="1"/>
  <c r="X145" i="8"/>
  <c r="X144" i="8"/>
  <c r="Y144" i="8" s="1"/>
  <c r="X143" i="8"/>
  <c r="X142" i="8"/>
  <c r="Y142" i="8" s="1"/>
  <c r="X140" i="8"/>
  <c r="Y140" i="8" s="1"/>
  <c r="X139" i="8"/>
  <c r="X138" i="8"/>
  <c r="Y138" i="8" s="1"/>
  <c r="X137" i="8"/>
  <c r="X136" i="8"/>
  <c r="Y136" i="8" s="1"/>
  <c r="X135" i="8"/>
  <c r="Y135" i="8" s="1"/>
  <c r="X134" i="8"/>
  <c r="X133" i="8"/>
  <c r="X124" i="8"/>
  <c r="Y124" i="8" s="1"/>
  <c r="X123" i="8"/>
  <c r="Y123" i="8" s="1"/>
  <c r="X122" i="8"/>
  <c r="Y122" i="8" s="1"/>
  <c r="X121" i="8"/>
  <c r="X120" i="8"/>
  <c r="X119" i="8"/>
  <c r="Y119" i="8" s="1"/>
  <c r="X116" i="8"/>
  <c r="X115" i="8"/>
  <c r="W108" i="8"/>
  <c r="N108" i="8"/>
  <c r="W107" i="8"/>
  <c r="N107" i="8"/>
  <c r="Y106" i="8"/>
  <c r="Y105" i="8"/>
  <c r="Y102" i="8"/>
  <c r="Y101" i="8"/>
  <c r="Y100" i="8"/>
  <c r="Y98" i="8"/>
  <c r="Z97" i="8"/>
  <c r="AA97" i="8" s="1"/>
  <c r="Y96" i="8"/>
  <c r="Y95" i="8"/>
  <c r="Y94" i="8"/>
  <c r="Y93" i="8"/>
  <c r="Y92" i="8"/>
  <c r="Y90" i="8"/>
  <c r="Y89" i="8"/>
  <c r="Z89" i="8"/>
  <c r="AA89" i="8" s="1"/>
  <c r="Y88" i="8"/>
  <c r="Y87" i="8"/>
  <c r="Y86" i="8"/>
  <c r="Y85" i="8"/>
  <c r="Y84" i="8"/>
  <c r="Y82" i="8"/>
  <c r="Z81" i="8"/>
  <c r="AA81" i="8" s="1"/>
  <c r="Y81" i="8"/>
  <c r="Y80" i="8"/>
  <c r="Y79" i="8"/>
  <c r="Y78" i="8"/>
  <c r="Y77" i="8"/>
  <c r="Y76" i="8"/>
  <c r="Z73" i="8"/>
  <c r="AA73" i="8" s="1"/>
  <c r="Y73" i="8"/>
  <c r="V64" i="8"/>
  <c r="N64" i="8"/>
  <c r="N66" i="8" s="1"/>
  <c r="V63" i="8"/>
  <c r="W60" i="8"/>
  <c r="W59" i="8"/>
  <c r="W58" i="8"/>
  <c r="W57" i="8"/>
  <c r="X57" i="8" s="1"/>
  <c r="W56" i="8"/>
  <c r="W55" i="8"/>
  <c r="W54" i="8"/>
  <c r="W53" i="8"/>
  <c r="X53" i="8" s="1"/>
  <c r="W52" i="8"/>
  <c r="X52" i="8" s="1"/>
  <c r="Y51" i="8"/>
  <c r="W46" i="8"/>
  <c r="X46" i="8" s="1"/>
  <c r="W45" i="8"/>
  <c r="X45" i="8" s="1"/>
  <c r="V48" i="8"/>
  <c r="V47" i="8"/>
  <c r="W44" i="8"/>
  <c r="X44" i="8" s="1"/>
  <c r="Y44" i="8" s="1"/>
  <c r="W43" i="8"/>
  <c r="X43" i="8" s="1"/>
  <c r="W42" i="8"/>
  <c r="X42" i="8" s="1"/>
  <c r="Y42" i="8" s="1"/>
  <c r="W41" i="8"/>
  <c r="X41" i="8" s="1"/>
  <c r="W40" i="8"/>
  <c r="X40" i="8" s="1"/>
  <c r="Y40" i="8" s="1"/>
  <c r="W39" i="8"/>
  <c r="X39" i="8" s="1"/>
  <c r="W38" i="8"/>
  <c r="X38" i="8" s="1"/>
  <c r="Y38" i="8" s="1"/>
  <c r="W37" i="8"/>
  <c r="X37" i="8" s="1"/>
  <c r="W36" i="8"/>
  <c r="X36" i="8" s="1"/>
  <c r="Y36" i="8" s="1"/>
  <c r="W35" i="8"/>
  <c r="X35" i="8" s="1"/>
  <c r="Y35" i="8" s="1"/>
  <c r="W34" i="8"/>
  <c r="X34" i="8" s="1"/>
  <c r="Y34" i="8" s="1"/>
  <c r="W33" i="8"/>
  <c r="X33" i="8" s="1"/>
  <c r="W32" i="8"/>
  <c r="X32" i="8" s="1"/>
  <c r="Y32" i="8" s="1"/>
  <c r="W31" i="8"/>
  <c r="X31" i="8" s="1"/>
  <c r="W30" i="8"/>
  <c r="X30" i="8" s="1"/>
  <c r="Y30" i="8" s="1"/>
  <c r="W29" i="8"/>
  <c r="X29" i="8" s="1"/>
  <c r="W28" i="8"/>
  <c r="X28" i="8" s="1"/>
  <c r="Y28" i="8" s="1"/>
  <c r="W27" i="8"/>
  <c r="X27" i="8" s="1"/>
  <c r="Y27" i="8" s="1"/>
  <c r="W26" i="8"/>
  <c r="X26" i="8" s="1"/>
  <c r="Y26" i="8" s="1"/>
  <c r="W25" i="8"/>
  <c r="X25" i="8" s="1"/>
  <c r="W24" i="8"/>
  <c r="X24" i="8" s="1"/>
  <c r="Y24" i="8" s="1"/>
  <c r="W23" i="8"/>
  <c r="X23" i="8" s="1"/>
  <c r="W22" i="8"/>
  <c r="X22" i="8" s="1"/>
  <c r="Y22" i="8" s="1"/>
  <c r="W21" i="8"/>
  <c r="X21" i="8" s="1"/>
  <c r="W20" i="8"/>
  <c r="X20" i="8" s="1"/>
  <c r="Y20" i="8" s="1"/>
  <c r="W19" i="8"/>
  <c r="X19" i="8" s="1"/>
  <c r="Y19" i="8" s="1"/>
  <c r="W18" i="8"/>
  <c r="X18" i="8" s="1"/>
  <c r="Y18" i="8" s="1"/>
  <c r="W17" i="8"/>
  <c r="X17" i="8" s="1"/>
  <c r="W16" i="8"/>
  <c r="X16" i="8" s="1"/>
  <c r="Y16" i="8" s="1"/>
  <c r="W15" i="8"/>
  <c r="X15" i="8" s="1"/>
  <c r="W14" i="8"/>
  <c r="X14" i="8" s="1"/>
  <c r="Y14" i="8" s="1"/>
  <c r="W13" i="8"/>
  <c r="X13" i="8" s="1"/>
  <c r="W12" i="8"/>
  <c r="X12" i="8" s="1"/>
  <c r="Y12" i="8" s="1"/>
  <c r="W11" i="8"/>
  <c r="X11" i="8" s="1"/>
  <c r="Y11" i="8" s="1"/>
  <c r="W10" i="8"/>
  <c r="X10" i="8" s="1"/>
  <c r="Y10" i="8" s="1"/>
  <c r="N48" i="8"/>
  <c r="W9" i="8"/>
  <c r="W8" i="8"/>
  <c r="X8" i="8" s="1"/>
  <c r="W7" i="8"/>
  <c r="X162" i="8" l="1"/>
  <c r="Z153" i="8"/>
  <c r="AB153" i="8" s="1"/>
  <c r="Y115" i="8"/>
  <c r="X161" i="8"/>
  <c r="Z149" i="8"/>
  <c r="AB149" i="8" s="1"/>
  <c r="Z139" i="8"/>
  <c r="AB139" i="8" s="1"/>
  <c r="Z143" i="8"/>
  <c r="AC143" i="8" s="1"/>
  <c r="Z145" i="8"/>
  <c r="AB145" i="8" s="1"/>
  <c r="Y139" i="8"/>
  <c r="X141" i="8"/>
  <c r="Z141" i="8" s="1"/>
  <c r="Y143" i="8"/>
  <c r="Z135" i="8"/>
  <c r="AA135" i="8" s="1"/>
  <c r="Z137" i="8"/>
  <c r="AA137" i="8" s="1"/>
  <c r="Z115" i="8"/>
  <c r="AA115" i="8" s="1"/>
  <c r="X118" i="8"/>
  <c r="Y118" i="8" s="1"/>
  <c r="Z119" i="8"/>
  <c r="AA119" i="8" s="1"/>
  <c r="X54" i="8"/>
  <c r="Y54" i="8" s="1"/>
  <c r="X58" i="8"/>
  <c r="Y58" i="8" s="1"/>
  <c r="X55" i="8"/>
  <c r="Y55" i="8" s="1"/>
  <c r="X59" i="8"/>
  <c r="Y59" i="8" s="1"/>
  <c r="X56" i="8"/>
  <c r="Y56" i="8" s="1"/>
  <c r="X60" i="8"/>
  <c r="Y60" i="8" s="1"/>
  <c r="Z91" i="8"/>
  <c r="AA91" i="8" s="1"/>
  <c r="V66" i="8"/>
  <c r="V65" i="8"/>
  <c r="Y46" i="8"/>
  <c r="Y74" i="8"/>
  <c r="Y97" i="8"/>
  <c r="Z99" i="8"/>
  <c r="AA99" i="8" s="1"/>
  <c r="Y116" i="8"/>
  <c r="Y120" i="8"/>
  <c r="Y145" i="8"/>
  <c r="Z151" i="8"/>
  <c r="AA151" i="8" s="1"/>
  <c r="Y153" i="8"/>
  <c r="Z75" i="8"/>
  <c r="AA75" i="8" s="1"/>
  <c r="Z121" i="8"/>
  <c r="AC121" i="8" s="1"/>
  <c r="Z25" i="8"/>
  <c r="AC25" i="8" s="1"/>
  <c r="W63" i="8"/>
  <c r="Z83" i="8"/>
  <c r="AA83" i="8" s="1"/>
  <c r="Z159" i="8"/>
  <c r="AC159" i="8" s="1"/>
  <c r="Z45" i="8"/>
  <c r="Z17" i="8"/>
  <c r="AC17" i="8" s="1"/>
  <c r="Z33" i="8"/>
  <c r="AC33" i="8" s="1"/>
  <c r="N47" i="8"/>
  <c r="X9" i="8"/>
  <c r="Z9" i="8" s="1"/>
  <c r="AB9" i="8" s="1"/>
  <c r="Z13" i="8"/>
  <c r="Y13" i="8"/>
  <c r="Z15" i="8"/>
  <c r="Y15" i="8"/>
  <c r="Z29" i="8"/>
  <c r="Y29" i="8"/>
  <c r="Z31" i="8"/>
  <c r="Y31" i="8"/>
  <c r="Z21" i="8"/>
  <c r="Y21" i="8"/>
  <c r="Z23" i="8"/>
  <c r="Y23" i="8"/>
  <c r="X48" i="8"/>
  <c r="W47" i="8"/>
  <c r="Y8" i="8"/>
  <c r="Y17" i="8"/>
  <c r="Y25" i="8"/>
  <c r="Y33" i="8"/>
  <c r="Y43" i="8"/>
  <c r="Z43" i="8"/>
  <c r="X7" i="8"/>
  <c r="Y41" i="8"/>
  <c r="Z41" i="8"/>
  <c r="Y57" i="8"/>
  <c r="W48" i="8"/>
  <c r="Z11" i="8"/>
  <c r="Z19" i="8"/>
  <c r="Z27" i="8"/>
  <c r="Z35" i="8"/>
  <c r="Y39" i="8"/>
  <c r="Z39" i="8"/>
  <c r="Y52" i="8"/>
  <c r="W64" i="8"/>
  <c r="Y37" i="8"/>
  <c r="Z37" i="8"/>
  <c r="Y53" i="8"/>
  <c r="AC73" i="8"/>
  <c r="Y75" i="8"/>
  <c r="Z77" i="8"/>
  <c r="AC81" i="8"/>
  <c r="Y83" i="8"/>
  <c r="Z85" i="8"/>
  <c r="AC89" i="8"/>
  <c r="Y91" i="8"/>
  <c r="Z93" i="8"/>
  <c r="AC97" i="8"/>
  <c r="Y99" i="8"/>
  <c r="Z101" i="8"/>
  <c r="X117" i="8"/>
  <c r="X125" i="8" s="1"/>
  <c r="Y121" i="8"/>
  <c r="Z123" i="8"/>
  <c r="AA123" i="8" s="1"/>
  <c r="Y133" i="8"/>
  <c r="Y134" i="8"/>
  <c r="Y137" i="8"/>
  <c r="Z133" i="8"/>
  <c r="Z79" i="8"/>
  <c r="Z87" i="8"/>
  <c r="Z95" i="8"/>
  <c r="Z105" i="8"/>
  <c r="AA145" i="8" l="1"/>
  <c r="AA153" i="8"/>
  <c r="AC153" i="8"/>
  <c r="X126" i="8"/>
  <c r="AC145" i="8"/>
  <c r="AA149" i="8"/>
  <c r="AA121" i="8"/>
  <c r="AB159" i="8"/>
  <c r="AC149" i="8"/>
  <c r="AB143" i="8"/>
  <c r="AA143" i="8"/>
  <c r="AA159" i="8"/>
  <c r="AC139" i="8"/>
  <c r="AA139" i="8"/>
  <c r="AC115" i="8"/>
  <c r="Y141" i="8"/>
  <c r="AC119" i="8"/>
  <c r="Z55" i="8"/>
  <c r="AC55" i="8" s="1"/>
  <c r="Z53" i="8"/>
  <c r="AC53" i="8" s="1"/>
  <c r="Z57" i="8"/>
  <c r="AA57" i="8" s="1"/>
  <c r="Z59" i="8"/>
  <c r="AA59" i="8" s="1"/>
  <c r="AC75" i="8"/>
  <c r="AC91" i="8"/>
  <c r="AC99" i="8"/>
  <c r="AC83" i="8"/>
  <c r="W66" i="8"/>
  <c r="N65" i="8"/>
  <c r="W65" i="8"/>
  <c r="AA17" i="8"/>
  <c r="X64" i="8"/>
  <c r="X66" i="8" s="1"/>
  <c r="X63" i="8"/>
  <c r="Y45" i="8"/>
  <c r="AA25" i="8"/>
  <c r="AB25" i="8"/>
  <c r="AB151" i="8"/>
  <c r="AC151" i="8"/>
  <c r="AB17" i="8"/>
  <c r="AB33" i="8"/>
  <c r="AA33" i="8"/>
  <c r="AA9" i="8"/>
  <c r="AC9" i="8"/>
  <c r="Y9" i="8"/>
  <c r="AC105" i="8"/>
  <c r="AA105" i="8"/>
  <c r="AC77" i="8"/>
  <c r="AA77" i="8"/>
  <c r="AB141" i="8"/>
  <c r="AA141" i="8"/>
  <c r="AC141" i="8"/>
  <c r="AC39" i="8"/>
  <c r="AA39" i="8"/>
  <c r="AB39" i="8"/>
  <c r="AC27" i="8"/>
  <c r="AB27" i="8"/>
  <c r="AA27" i="8"/>
  <c r="AC11" i="8"/>
  <c r="AB11" i="8"/>
  <c r="AA11" i="8"/>
  <c r="AC95" i="8"/>
  <c r="AA95" i="8"/>
  <c r="Z117" i="8"/>
  <c r="Y117" i="8"/>
  <c r="AC85" i="8"/>
  <c r="AA85" i="8"/>
  <c r="X47" i="8"/>
  <c r="Z7" i="8"/>
  <c r="Y7" i="8"/>
  <c r="AB23" i="8"/>
  <c r="AA23" i="8"/>
  <c r="AC23" i="8"/>
  <c r="AB31" i="8"/>
  <c r="AA31" i="8"/>
  <c r="AC31" i="8"/>
  <c r="AA15" i="8"/>
  <c r="AC15" i="8"/>
  <c r="AB15" i="8"/>
  <c r="AC87" i="8"/>
  <c r="AA87" i="8"/>
  <c r="AA133" i="8"/>
  <c r="Z161" i="8"/>
  <c r="AC93" i="8"/>
  <c r="AA93" i="8"/>
  <c r="AC37" i="8"/>
  <c r="AA37" i="8"/>
  <c r="AB37" i="8"/>
  <c r="AC35" i="8"/>
  <c r="AB35" i="8"/>
  <c r="AA35" i="8"/>
  <c r="AA19" i="8"/>
  <c r="AC19" i="8"/>
  <c r="AB19" i="8"/>
  <c r="Z51" i="8"/>
  <c r="AC43" i="8"/>
  <c r="AA43" i="8"/>
  <c r="AB43" i="8"/>
  <c r="AC79" i="8"/>
  <c r="AA79" i="8"/>
  <c r="AC101" i="8"/>
  <c r="AA101" i="8"/>
  <c r="AC45" i="8"/>
  <c r="AA45" i="8"/>
  <c r="AB45" i="8"/>
  <c r="AC41" i="8"/>
  <c r="AA41" i="8"/>
  <c r="AB41" i="8"/>
  <c r="AA21" i="8"/>
  <c r="AC21" i="8"/>
  <c r="AB21" i="8"/>
  <c r="AA29" i="8"/>
  <c r="AC29" i="8"/>
  <c r="AB29" i="8"/>
  <c r="AA13" i="8"/>
  <c r="AC13" i="8"/>
  <c r="AB13" i="8"/>
  <c r="AB59" i="8" l="1"/>
  <c r="AC59" i="8"/>
  <c r="AA55" i="8"/>
  <c r="AC57" i="8"/>
  <c r="AB53" i="8"/>
  <c r="AB55" i="8"/>
  <c r="AA53" i="8"/>
  <c r="AB57" i="8"/>
  <c r="X65" i="8"/>
  <c r="AA117" i="8"/>
  <c r="AC117" i="8"/>
  <c r="Z125" i="8"/>
  <c r="AA51" i="8"/>
  <c r="AC51" i="8"/>
  <c r="AB51" i="8"/>
  <c r="Z47" i="8"/>
  <c r="AC7" i="8"/>
  <c r="AC47" i="8" s="1"/>
  <c r="AB7" i="8"/>
  <c r="AB47" i="8" s="1"/>
  <c r="AA7" i="8"/>
  <c r="Z63" i="8" l="1"/>
  <c r="Z65" i="8" s="1"/>
  <c r="AC63" i="8"/>
  <c r="AC65" i="8" s="1"/>
  <c r="AB63" i="8"/>
  <c r="AB65" i="8" s="1"/>
  <c r="M98" i="11" l="1"/>
  <c r="V98" i="11"/>
  <c r="X98" i="11" l="1"/>
  <c r="Y98" i="11" s="1"/>
  <c r="V102" i="11" l="1"/>
  <c r="X102" i="11" s="1"/>
  <c r="M89" i="11"/>
  <c r="M97" i="11"/>
  <c r="M153" i="11"/>
  <c r="V89" i="11"/>
  <c r="V153" i="11"/>
  <c r="M79" i="11"/>
  <c r="X79" i="11" s="1"/>
  <c r="M82" i="11"/>
  <c r="X82" i="11" s="1"/>
  <c r="V97" i="11"/>
  <c r="Y82" i="11" l="1"/>
  <c r="Z81" i="11"/>
  <c r="X89" i="11"/>
  <c r="Y79" i="11"/>
  <c r="X153" i="11"/>
  <c r="M17" i="11"/>
  <c r="N17" i="11" s="1"/>
  <c r="V17" i="11"/>
  <c r="W17" i="11" s="1"/>
  <c r="Y102" i="11"/>
  <c r="Z101" i="11"/>
  <c r="X97" i="11"/>
  <c r="Y97" i="11" s="1"/>
  <c r="Y89" i="11" l="1"/>
  <c r="Z89" i="11"/>
  <c r="Y153" i="11"/>
  <c r="Z153" i="11"/>
  <c r="V12" i="11"/>
  <c r="M124" i="11"/>
  <c r="M44" i="11"/>
  <c r="N44" i="11" s="1"/>
  <c r="AC101" i="11"/>
  <c r="AA101" i="11"/>
  <c r="V124" i="11"/>
  <c r="V44" i="11"/>
  <c r="W44" i="11" s="1"/>
  <c r="X17" i="11"/>
  <c r="AC81" i="11"/>
  <c r="AA81" i="11"/>
  <c r="Z97" i="11"/>
  <c r="AA97" i="11" s="1"/>
  <c r="M34" i="11" l="1"/>
  <c r="N34" i="11" s="1"/>
  <c r="W12" i="11"/>
  <c r="V126" i="11"/>
  <c r="V34" i="11"/>
  <c r="W34" i="11" s="1"/>
  <c r="M41" i="11"/>
  <c r="N41" i="11" s="1"/>
  <c r="Y17" i="11"/>
  <c r="X124" i="11"/>
  <c r="Y124" i="11" s="1"/>
  <c r="AA89" i="11"/>
  <c r="AC89" i="11"/>
  <c r="M126" i="11"/>
  <c r="X44" i="11"/>
  <c r="Y44" i="11" s="1"/>
  <c r="AB153" i="11"/>
  <c r="AA153" i="11"/>
  <c r="AC153" i="11"/>
  <c r="AC97" i="11"/>
  <c r="X126" i="11" l="1"/>
  <c r="Y126" i="11" s="1"/>
  <c r="V123" i="11"/>
  <c r="X34" i="11"/>
  <c r="Y34" i="11" s="1"/>
  <c r="M37" i="11" l="1"/>
  <c r="N37" i="11" s="1"/>
  <c r="V37" i="11"/>
  <c r="W37" i="11" s="1"/>
  <c r="X37" i="11" l="1"/>
  <c r="Y37" i="11" s="1"/>
  <c r="M12" i="11"/>
  <c r="N12" i="11" s="1"/>
  <c r="X12" i="11" s="1"/>
  <c r="Y12" i="11" s="1"/>
  <c r="M158" i="11"/>
  <c r="X158" i="11" s="1"/>
  <c r="M123" i="11"/>
  <c r="X123" i="11" s="1"/>
  <c r="V9" i="11"/>
  <c r="W9" i="11" s="1"/>
  <c r="V36" i="11"/>
  <c r="W36" i="11" s="1"/>
  <c r="M155" i="11"/>
  <c r="X155" i="11" s="1"/>
  <c r="V59" i="11" l="1"/>
  <c r="W59" i="11" s="1"/>
  <c r="X59" i="11" s="1"/>
  <c r="M136" i="11"/>
  <c r="M22" i="11"/>
  <c r="N22" i="11" s="1"/>
  <c r="M40" i="11"/>
  <c r="N40" i="11" s="1"/>
  <c r="M46" i="11"/>
  <c r="N46" i="11" s="1"/>
  <c r="M146" i="11"/>
  <c r="X146" i="11" s="1"/>
  <c r="M26" i="11"/>
  <c r="N26" i="11" s="1"/>
  <c r="X26" i="11" s="1"/>
  <c r="Y26" i="11" s="1"/>
  <c r="M24" i="11"/>
  <c r="N24" i="11" s="1"/>
  <c r="V160" i="11"/>
  <c r="V58" i="11"/>
  <c r="W58" i="11" s="1"/>
  <c r="X58" i="11" s="1"/>
  <c r="Y58" i="11" s="1"/>
  <c r="V136" i="11"/>
  <c r="V22" i="11"/>
  <c r="W22" i="11" s="1"/>
  <c r="V40" i="11"/>
  <c r="W40" i="11" s="1"/>
  <c r="V46" i="11"/>
  <c r="W46" i="11" s="1"/>
  <c r="V60" i="11"/>
  <c r="W60" i="11" s="1"/>
  <c r="X60" i="11" s="1"/>
  <c r="Y60" i="11" s="1"/>
  <c r="V62" i="11"/>
  <c r="W62" i="11" s="1"/>
  <c r="X62" i="11" s="1"/>
  <c r="Y62" i="11" s="1"/>
  <c r="V38" i="11"/>
  <c r="W38" i="11" s="1"/>
  <c r="V24" i="11"/>
  <c r="W24" i="11" s="1"/>
  <c r="M120" i="11"/>
  <c r="X120" i="11" s="1"/>
  <c r="Y120" i="11" s="1"/>
  <c r="M16" i="11"/>
  <c r="N16" i="11" s="1"/>
  <c r="M30" i="11"/>
  <c r="N30" i="11" s="1"/>
  <c r="M20" i="11"/>
  <c r="N20" i="11" s="1"/>
  <c r="M118" i="11"/>
  <c r="M36" i="11"/>
  <c r="N36" i="11" s="1"/>
  <c r="X36" i="11" s="1"/>
  <c r="Y36" i="11" s="1"/>
  <c r="M18" i="11"/>
  <c r="N18" i="11" s="1"/>
  <c r="M10" i="11"/>
  <c r="N10" i="11" s="1"/>
  <c r="X10" i="11" s="1"/>
  <c r="Y10" i="11" s="1"/>
  <c r="M88" i="11"/>
  <c r="X88" i="11" s="1"/>
  <c r="M14" i="11"/>
  <c r="N14" i="11" s="1"/>
  <c r="M32" i="11"/>
  <c r="N32" i="11" s="1"/>
  <c r="M28" i="11"/>
  <c r="N28" i="11" s="1"/>
  <c r="M42" i="11"/>
  <c r="N42" i="11" s="1"/>
  <c r="V54" i="11"/>
  <c r="W54" i="11" s="1"/>
  <c r="X54" i="11" s="1"/>
  <c r="Y54" i="11" s="1"/>
  <c r="V52" i="11"/>
  <c r="V108" i="11"/>
  <c r="X108" i="11" s="1"/>
  <c r="Y108" i="11" s="1"/>
  <c r="V100" i="11"/>
  <c r="X100" i="11" s="1"/>
  <c r="Y100" i="11" s="1"/>
  <c r="V106" i="11"/>
  <c r="X106" i="11" s="1"/>
  <c r="V166" i="11"/>
  <c r="Y158" i="11"/>
  <c r="Z157" i="11"/>
  <c r="V78" i="11"/>
  <c r="V96" i="11"/>
  <c r="V16" i="11"/>
  <c r="W16" i="11" s="1"/>
  <c r="V30" i="11"/>
  <c r="W30" i="11" s="1"/>
  <c r="V20" i="11"/>
  <c r="W20" i="11" s="1"/>
  <c r="V118" i="11"/>
  <c r="V128" i="11" s="1"/>
  <c r="V64" i="11"/>
  <c r="W64" i="11" s="1"/>
  <c r="X64" i="11" s="1"/>
  <c r="Y64" i="11" s="1"/>
  <c r="V18" i="11"/>
  <c r="W18" i="11" s="1"/>
  <c r="V28" i="11"/>
  <c r="W28" i="11" s="1"/>
  <c r="V104" i="11"/>
  <c r="X104" i="11" s="1"/>
  <c r="V14" i="11"/>
  <c r="V32" i="11"/>
  <c r="W32" i="11" s="1"/>
  <c r="V42" i="11"/>
  <c r="W42" i="11" s="1"/>
  <c r="M78" i="11"/>
  <c r="M160" i="11"/>
  <c r="X160" i="11" s="1"/>
  <c r="M76" i="11"/>
  <c r="M96" i="11"/>
  <c r="M8" i="11"/>
  <c r="Y123" i="11"/>
  <c r="Z123" i="11"/>
  <c r="M150" i="11"/>
  <c r="X150" i="11" s="1"/>
  <c r="Y150" i="11" s="1"/>
  <c r="M122" i="11"/>
  <c r="X122" i="11" s="1"/>
  <c r="Y122" i="11" s="1"/>
  <c r="M38" i="11"/>
  <c r="N38" i="11" s="1"/>
  <c r="M94" i="11"/>
  <c r="X94" i="11" s="1"/>
  <c r="Y94" i="11" s="1"/>
  <c r="M84" i="11"/>
  <c r="X84" i="11" s="1"/>
  <c r="Y84" i="11" s="1"/>
  <c r="M80" i="11"/>
  <c r="X80" i="11" s="1"/>
  <c r="M166" i="11"/>
  <c r="Z155" i="11"/>
  <c r="Y155" i="11"/>
  <c r="V63" i="11"/>
  <c r="W63" i="11" s="1"/>
  <c r="X63" i="11" s="1"/>
  <c r="M121" i="11"/>
  <c r="X121" i="11" s="1"/>
  <c r="M19" i="11"/>
  <c r="N19" i="11" s="1"/>
  <c r="M15" i="11"/>
  <c r="N15" i="11" s="1"/>
  <c r="M83" i="11"/>
  <c r="X83" i="11" s="1"/>
  <c r="M119" i="11"/>
  <c r="X119" i="11" s="1"/>
  <c r="M39" i="11"/>
  <c r="N39" i="11" s="1"/>
  <c r="V107" i="11"/>
  <c r="X107" i="11" s="1"/>
  <c r="V19" i="11"/>
  <c r="W19" i="11" s="1"/>
  <c r="V15" i="11"/>
  <c r="W15" i="11" s="1"/>
  <c r="V99" i="11"/>
  <c r="X99" i="11" s="1"/>
  <c r="V61" i="11"/>
  <c r="W61" i="11" s="1"/>
  <c r="X61" i="11" s="1"/>
  <c r="M77" i="11"/>
  <c r="M151" i="11"/>
  <c r="X151" i="11" s="1"/>
  <c r="M75" i="11"/>
  <c r="X75" i="11" s="1"/>
  <c r="M27" i="11"/>
  <c r="N27" i="11" s="1"/>
  <c r="V77" i="11"/>
  <c r="V27" i="11"/>
  <c r="W27" i="11" s="1"/>
  <c r="V23" i="11"/>
  <c r="W23" i="11" s="1"/>
  <c r="V31" i="11"/>
  <c r="W31" i="11" s="1"/>
  <c r="X31" i="11" s="1"/>
  <c r="M149" i="11"/>
  <c r="X149" i="11" s="1"/>
  <c r="M33" i="11"/>
  <c r="N33" i="11" s="1"/>
  <c r="M135" i="11"/>
  <c r="M43" i="11"/>
  <c r="N43" i="11" s="1"/>
  <c r="M21" i="11"/>
  <c r="N21" i="11" s="1"/>
  <c r="M7" i="11"/>
  <c r="M165" i="11"/>
  <c r="M45" i="11"/>
  <c r="N45" i="11" s="1"/>
  <c r="M25" i="11"/>
  <c r="N25" i="11" s="1"/>
  <c r="X25" i="11" s="1"/>
  <c r="M35" i="11"/>
  <c r="N35" i="11" s="1"/>
  <c r="X35" i="11" s="1"/>
  <c r="V125" i="11"/>
  <c r="V127" i="11" s="1"/>
  <c r="V41" i="11"/>
  <c r="W41" i="11" s="1"/>
  <c r="X41" i="11" s="1"/>
  <c r="V51" i="11"/>
  <c r="V135" i="11"/>
  <c r="V43" i="11"/>
  <c r="W43" i="11" s="1"/>
  <c r="V57" i="11"/>
  <c r="V165" i="11"/>
  <c r="V45" i="11"/>
  <c r="V39" i="11"/>
  <c r="W39" i="11" s="1"/>
  <c r="V53" i="11"/>
  <c r="V13" i="11"/>
  <c r="V33" i="11"/>
  <c r="W33" i="11" s="1"/>
  <c r="V21" i="11"/>
  <c r="W21" i="11" s="1"/>
  <c r="M137" i="11"/>
  <c r="X137" i="11" s="1"/>
  <c r="M85" i="11"/>
  <c r="M125" i="11"/>
  <c r="M9" i="11"/>
  <c r="N9" i="11" s="1"/>
  <c r="X9" i="11" s="1"/>
  <c r="M93" i="11"/>
  <c r="X93" i="11" s="1"/>
  <c r="M23" i="11"/>
  <c r="N23" i="11" s="1"/>
  <c r="M147" i="11"/>
  <c r="X147" i="11" s="1"/>
  <c r="M13" i="11"/>
  <c r="N13" i="11" s="1"/>
  <c r="M11" i="11"/>
  <c r="N11" i="11" s="1"/>
  <c r="X11" i="11" s="1"/>
  <c r="X23" i="11" l="1"/>
  <c r="Y23" i="11" s="1"/>
  <c r="X166" i="11"/>
  <c r="Y166" i="11" s="1"/>
  <c r="X38" i="11"/>
  <c r="Y38" i="11" s="1"/>
  <c r="Z59" i="11"/>
  <c r="AA59" i="11" s="1"/>
  <c r="Y59" i="11"/>
  <c r="X39" i="11"/>
  <c r="Y39" i="11" s="1"/>
  <c r="X78" i="11"/>
  <c r="Y78" i="11" s="1"/>
  <c r="V109" i="11"/>
  <c r="X96" i="11"/>
  <c r="Z95" i="11" s="1"/>
  <c r="X27" i="11"/>
  <c r="Y27" i="11" s="1"/>
  <c r="W52" i="11"/>
  <c r="V66" i="11"/>
  <c r="Y88" i="11"/>
  <c r="Z87" i="11"/>
  <c r="X30" i="11"/>
  <c r="X46" i="11"/>
  <c r="Y46" i="11" s="1"/>
  <c r="X22" i="11"/>
  <c r="Y22" i="11" s="1"/>
  <c r="Y160" i="11"/>
  <c r="Z159" i="11"/>
  <c r="W14" i="11"/>
  <c r="W48" i="11" s="1"/>
  <c r="V48" i="11"/>
  <c r="V110" i="11"/>
  <c r="X42" i="11"/>
  <c r="Y42" i="11" s="1"/>
  <c r="X32" i="11"/>
  <c r="Y32" i="11" s="1"/>
  <c r="X18" i="11"/>
  <c r="M128" i="11"/>
  <c r="X118" i="11"/>
  <c r="V168" i="11"/>
  <c r="Y80" i="11"/>
  <c r="Z79" i="11"/>
  <c r="AA123" i="11"/>
  <c r="AC123" i="11"/>
  <c r="AA157" i="11"/>
  <c r="AC157" i="11"/>
  <c r="AB157" i="11"/>
  <c r="Y106" i="11"/>
  <c r="Z105" i="11"/>
  <c r="X28" i="11"/>
  <c r="Y28" i="11" s="1"/>
  <c r="X20" i="11"/>
  <c r="Y20" i="11" s="1"/>
  <c r="X136" i="11"/>
  <c r="M168" i="11"/>
  <c r="M48" i="11"/>
  <c r="N8" i="11"/>
  <c r="M110" i="11"/>
  <c r="X76" i="11"/>
  <c r="Y76" i="11" s="1"/>
  <c r="Y104" i="11"/>
  <c r="Z103" i="11"/>
  <c r="X16" i="11"/>
  <c r="Y16" i="11" s="1"/>
  <c r="X24" i="11"/>
  <c r="Y24" i="11" s="1"/>
  <c r="Y146" i="11"/>
  <c r="Z145" i="11"/>
  <c r="X40" i="11"/>
  <c r="Y40" i="11" s="1"/>
  <c r="Y151" i="11"/>
  <c r="Z151" i="11"/>
  <c r="Z61" i="11"/>
  <c r="Y61" i="11"/>
  <c r="Z107" i="11"/>
  <c r="Y107" i="11"/>
  <c r="Y119" i="11"/>
  <c r="Z119" i="11"/>
  <c r="X15" i="11"/>
  <c r="Y121" i="11"/>
  <c r="Z121" i="11"/>
  <c r="Y75" i="11"/>
  <c r="X77" i="11"/>
  <c r="Y99" i="11"/>
  <c r="Z99" i="11"/>
  <c r="Y83" i="11"/>
  <c r="Z83" i="11"/>
  <c r="X19" i="11"/>
  <c r="Y63" i="11"/>
  <c r="Z63" i="11"/>
  <c r="AC155" i="11"/>
  <c r="AA155" i="11"/>
  <c r="AB155" i="11"/>
  <c r="M109" i="11"/>
  <c r="V47" i="11"/>
  <c r="W51" i="11"/>
  <c r="V65" i="11"/>
  <c r="W53" i="11"/>
  <c r="X53" i="11" s="1"/>
  <c r="W57" i="11"/>
  <c r="X57" i="11" s="1"/>
  <c r="Y9" i="11"/>
  <c r="Z9" i="11"/>
  <c r="X85" i="11"/>
  <c r="W13" i="11"/>
  <c r="Y25" i="11"/>
  <c r="Z25" i="11"/>
  <c r="X165" i="11"/>
  <c r="X21" i="11"/>
  <c r="X135" i="11"/>
  <c r="M167" i="11"/>
  <c r="Z149" i="11"/>
  <c r="Y149" i="11"/>
  <c r="Y11" i="11"/>
  <c r="Z11" i="11"/>
  <c r="Z147" i="11"/>
  <c r="Y147" i="11"/>
  <c r="Y93" i="11"/>
  <c r="Z93" i="11"/>
  <c r="X125" i="11"/>
  <c r="M127" i="11"/>
  <c r="Z137" i="11"/>
  <c r="AA137" i="11" s="1"/>
  <c r="Y137" i="11"/>
  <c r="W45" i="11"/>
  <c r="V167" i="11"/>
  <c r="Y41" i="11"/>
  <c r="Z35" i="11"/>
  <c r="Y35" i="11"/>
  <c r="M47" i="11"/>
  <c r="N7" i="11"/>
  <c r="N47" i="11" s="1"/>
  <c r="X43" i="11"/>
  <c r="X33" i="11"/>
  <c r="Y31" i="11"/>
  <c r="Z37" i="11" l="1"/>
  <c r="AC37" i="11" s="1"/>
  <c r="AC59" i="11"/>
  <c r="AB59" i="11"/>
  <c r="Z27" i="11"/>
  <c r="AB27" i="11" s="1"/>
  <c r="Z41" i="11"/>
  <c r="AA41" i="11" s="1"/>
  <c r="Y96" i="11"/>
  <c r="Z39" i="11"/>
  <c r="AC39" i="11" s="1"/>
  <c r="Z31" i="11"/>
  <c r="AB31" i="11" s="1"/>
  <c r="Z23" i="11"/>
  <c r="AA23" i="11" s="1"/>
  <c r="Z75" i="11"/>
  <c r="AC75" i="11" s="1"/>
  <c r="AA103" i="11"/>
  <c r="AC103" i="11"/>
  <c r="Y136" i="11"/>
  <c r="X168" i="11"/>
  <c r="AA95" i="11"/>
  <c r="AC95" i="11"/>
  <c r="X14" i="11"/>
  <c r="Y14" i="11" s="1"/>
  <c r="AC79" i="11"/>
  <c r="AA79" i="11"/>
  <c r="Y18" i="11"/>
  <c r="Z17" i="11"/>
  <c r="V68" i="11"/>
  <c r="AC145" i="11"/>
  <c r="AB145" i="11"/>
  <c r="AA145" i="11"/>
  <c r="Y30" i="11"/>
  <c r="Z29" i="11"/>
  <c r="AC87" i="11"/>
  <c r="AA87" i="11"/>
  <c r="N48" i="11"/>
  <c r="X8" i="11"/>
  <c r="AC105" i="11"/>
  <c r="AA105" i="11"/>
  <c r="Y118" i="11"/>
  <c r="X128" i="11"/>
  <c r="Z117" i="11"/>
  <c r="AC159" i="11"/>
  <c r="AA159" i="11"/>
  <c r="AB159" i="11"/>
  <c r="X52" i="11"/>
  <c r="W66" i="11"/>
  <c r="W68" i="11" s="1"/>
  <c r="AA83" i="11"/>
  <c r="AC83" i="11"/>
  <c r="AB151" i="11"/>
  <c r="AA151" i="11"/>
  <c r="AC151" i="11"/>
  <c r="AC63" i="11"/>
  <c r="AB63" i="11"/>
  <c r="AA63" i="11"/>
  <c r="Y77" i="11"/>
  <c r="Z77" i="11"/>
  <c r="AA121" i="11"/>
  <c r="AC121" i="11"/>
  <c r="AA107" i="11"/>
  <c r="AC107" i="11"/>
  <c r="AC119" i="11"/>
  <c r="AA119" i="11"/>
  <c r="Y19" i="11"/>
  <c r="Z19" i="11"/>
  <c r="AA99" i="11"/>
  <c r="AC99" i="11"/>
  <c r="Y15" i="11"/>
  <c r="Z15" i="11"/>
  <c r="AA61" i="11"/>
  <c r="AC61" i="11"/>
  <c r="AB61" i="11"/>
  <c r="Z57" i="11"/>
  <c r="AA57" i="11" s="1"/>
  <c r="Y57" i="11"/>
  <c r="Y53" i="11"/>
  <c r="Z53" i="11"/>
  <c r="AA53" i="11" s="1"/>
  <c r="W47" i="11"/>
  <c r="X51" i="11"/>
  <c r="W65" i="11"/>
  <c r="V67" i="11"/>
  <c r="X7" i="11"/>
  <c r="AA35" i="11"/>
  <c r="AB35" i="11"/>
  <c r="AC35" i="11"/>
  <c r="AC25" i="11"/>
  <c r="AA25" i="11"/>
  <c r="AB25" i="11"/>
  <c r="Y125" i="11"/>
  <c r="Z125" i="11"/>
  <c r="X127" i="11"/>
  <c r="AB147" i="11"/>
  <c r="AA147" i="11"/>
  <c r="AC147" i="11"/>
  <c r="Z135" i="11"/>
  <c r="X167" i="11"/>
  <c r="Y135" i="11"/>
  <c r="Y85" i="11"/>
  <c r="Z85" i="11"/>
  <c r="Y33" i="11"/>
  <c r="Z33" i="11"/>
  <c r="X45" i="11"/>
  <c r="AA93" i="11"/>
  <c r="AC93" i="11"/>
  <c r="AC11" i="11"/>
  <c r="AA11" i="11"/>
  <c r="AB11" i="11"/>
  <c r="Y21" i="11"/>
  <c r="Z21" i="11"/>
  <c r="AB9" i="11"/>
  <c r="AC9" i="11"/>
  <c r="AA9" i="11"/>
  <c r="X13" i="11"/>
  <c r="Y43" i="11"/>
  <c r="Z43" i="11"/>
  <c r="AA149" i="11"/>
  <c r="AC149" i="11"/>
  <c r="AB149" i="11"/>
  <c r="Z165" i="11"/>
  <c r="Y165" i="11"/>
  <c r="AA37" i="11" l="1"/>
  <c r="AB37" i="11"/>
  <c r="AB41" i="11"/>
  <c r="AC41" i="11"/>
  <c r="AC31" i="11"/>
  <c r="AA27" i="11"/>
  <c r="AC27" i="11"/>
  <c r="AB39" i="11"/>
  <c r="AA39" i="11"/>
  <c r="AB23" i="11"/>
  <c r="AC23" i="11"/>
  <c r="AA31" i="11"/>
  <c r="AA75" i="11"/>
  <c r="AC17" i="11"/>
  <c r="AA17" i="11"/>
  <c r="AB17" i="11"/>
  <c r="Y52" i="11"/>
  <c r="X66" i="11"/>
  <c r="AB29" i="11"/>
  <c r="AA29" i="11"/>
  <c r="AC29" i="11"/>
  <c r="AC117" i="11"/>
  <c r="AA117" i="11"/>
  <c r="X48" i="11"/>
  <c r="Y8" i="11"/>
  <c r="AB19" i="11"/>
  <c r="AA19" i="11"/>
  <c r="AC19" i="11"/>
  <c r="AC15" i="11"/>
  <c r="AA15" i="11"/>
  <c r="AB15" i="11"/>
  <c r="AC77" i="11"/>
  <c r="AA77" i="11"/>
  <c r="W67" i="11"/>
  <c r="AB53" i="11"/>
  <c r="AC53" i="11"/>
  <c r="AB57" i="11"/>
  <c r="AC57" i="11"/>
  <c r="X65" i="11"/>
  <c r="Y51" i="11"/>
  <c r="Z51" i="11"/>
  <c r="X47" i="11"/>
  <c r="AA125" i="11"/>
  <c r="Z127" i="11"/>
  <c r="AA135" i="11"/>
  <c r="Z167" i="11"/>
  <c r="AA21" i="11"/>
  <c r="AB21" i="11"/>
  <c r="AC21" i="11"/>
  <c r="AB165" i="11"/>
  <c r="AA165" i="11"/>
  <c r="AC165" i="11"/>
  <c r="Y45" i="11"/>
  <c r="Z45" i="11"/>
  <c r="AA85" i="11"/>
  <c r="AC85" i="11"/>
  <c r="Y13" i="11"/>
  <c r="Z13" i="11"/>
  <c r="AC43" i="11"/>
  <c r="AB43" i="11"/>
  <c r="AA43" i="11"/>
  <c r="AC33" i="11"/>
  <c r="AA33" i="11"/>
  <c r="AB33" i="11"/>
  <c r="Y7" i="11"/>
  <c r="Z7" i="11"/>
  <c r="X68" i="11" l="1"/>
  <c r="X67" i="11"/>
  <c r="Z47" i="11"/>
  <c r="Z65" i="11"/>
  <c r="AA51" i="11"/>
  <c r="AC51" i="11"/>
  <c r="AC65" i="11" s="1"/>
  <c r="AB51" i="11"/>
  <c r="AB65" i="11" s="1"/>
  <c r="AB7" i="11"/>
  <c r="AA7" i="11"/>
  <c r="AC7" i="11"/>
  <c r="AC45" i="11"/>
  <c r="AB45" i="11"/>
  <c r="AA45" i="11"/>
  <c r="AA13" i="11"/>
  <c r="AC13" i="11"/>
  <c r="AB13" i="11"/>
  <c r="AB47" i="11" l="1"/>
  <c r="AC47" i="11"/>
  <c r="G369" i="1"/>
</calcChain>
</file>

<file path=xl/sharedStrings.xml><?xml version="1.0" encoding="utf-8"?>
<sst xmlns="http://schemas.openxmlformats.org/spreadsheetml/2006/main" count="5631" uniqueCount="589">
  <si>
    <t>ЗИМСКИ СЕМЕСТАР</t>
  </si>
  <si>
    <t>Ред.</t>
  </si>
  <si>
    <t>Предмет</t>
  </si>
  <si>
    <t>факултет/студијски програм</t>
  </si>
  <si>
    <t>Година студија</t>
  </si>
  <si>
    <t>СЕМЕСТАР</t>
  </si>
  <si>
    <t xml:space="preserve">Статус </t>
  </si>
  <si>
    <t>Часова наставе</t>
  </si>
  <si>
    <t>Наставник</t>
  </si>
  <si>
    <t>Звање</t>
  </si>
  <si>
    <t>Статус наставника</t>
  </si>
  <si>
    <t>Мјесто запослења</t>
  </si>
  <si>
    <t>број студената</t>
  </si>
  <si>
    <t>Број група</t>
  </si>
  <si>
    <t>бр.</t>
  </si>
  <si>
    <t>З/Љ</t>
  </si>
  <si>
    <t>наставе</t>
  </si>
  <si>
    <t>П</t>
  </si>
  <si>
    <t>В</t>
  </si>
  <si>
    <t>Л</t>
  </si>
  <si>
    <t>и становања</t>
  </si>
  <si>
    <t>који слушају предмет</t>
  </si>
  <si>
    <t xml:space="preserve">Српски језик </t>
  </si>
  <si>
    <t>ПФ/ПВО</t>
  </si>
  <si>
    <t>I</t>
  </si>
  <si>
    <t>З</t>
  </si>
  <si>
    <t>ПФБ, Бијељина</t>
  </si>
  <si>
    <t>Општа педагогија</t>
  </si>
  <si>
    <t>ред. проф.</t>
  </si>
  <si>
    <t>3.</t>
  </si>
  <si>
    <t>Елементарни математички појмови</t>
  </si>
  <si>
    <t>асистент</t>
  </si>
  <si>
    <t>Вокално инструментална настава</t>
  </si>
  <si>
    <t>Сценска умјетност</t>
  </si>
  <si>
    <t>Предшколска педагогија</t>
  </si>
  <si>
    <t>ПФ/ПО</t>
  </si>
  <si>
    <t>II</t>
  </si>
  <si>
    <t>X</t>
  </si>
  <si>
    <t>Основи друштвених наука</t>
  </si>
  <si>
    <t>Педагошка психологија</t>
  </si>
  <si>
    <t>др Данимир Мандић</t>
  </si>
  <si>
    <t>ДУИС</t>
  </si>
  <si>
    <t>Филозофски факултет Пале</t>
  </si>
  <si>
    <t>доцент</t>
  </si>
  <si>
    <t>Педагошка комуникација</t>
  </si>
  <si>
    <t>Методологија педагошких истраживања</t>
  </si>
  <si>
    <t>III</t>
  </si>
  <si>
    <t>Рад са даровитом дјецом</t>
  </si>
  <si>
    <t>Хигијена са здравственим васпитањем</t>
  </si>
  <si>
    <t>ЉЕТНИ СЕМЕСТАР</t>
  </si>
  <si>
    <t>Општа и развојна психологија</t>
  </si>
  <si>
    <t>Љ</t>
  </si>
  <si>
    <t>Основи природних наука</t>
  </si>
  <si>
    <t>Социологија образовања</t>
  </si>
  <si>
    <t>ФПЕ, Бијељина</t>
  </si>
  <si>
    <t>Породична педагогија</t>
  </si>
  <si>
    <t>Физичко и здравствено васпитање</t>
  </si>
  <si>
    <t>Страни језик за дјецу-енглески</t>
  </si>
  <si>
    <t>Страни језик за дјецу-њемачки</t>
  </si>
  <si>
    <t>Књижевност за дјецу</t>
  </si>
  <si>
    <t>Развој говора</t>
  </si>
  <si>
    <t>Менаџмент у васпитно-образовним установама</t>
  </si>
  <si>
    <t>ПРОДЕКАН ЗА НАСТАВУ</t>
  </si>
  <si>
    <t>ДЕКАН</t>
  </si>
  <si>
    <t>М.П.</t>
  </si>
  <si>
    <t xml:space="preserve">ЗИМСКИ СЕМЕСТАР </t>
  </si>
  <si>
    <t>семестар</t>
  </si>
  <si>
    <t>Српски језик 1</t>
  </si>
  <si>
    <t>ПФ/РН</t>
  </si>
  <si>
    <t>Математика 1</t>
  </si>
  <si>
    <t>4.</t>
  </si>
  <si>
    <t>Педагогија</t>
  </si>
  <si>
    <t>5.</t>
  </si>
  <si>
    <t>Вокално-инструментална настава</t>
  </si>
  <si>
    <t>6.</t>
  </si>
  <si>
    <t>Књижевност</t>
  </si>
  <si>
    <t xml:space="preserve">II </t>
  </si>
  <si>
    <t>Дидактика 1</t>
  </si>
  <si>
    <t>Основи географије и демографије</t>
  </si>
  <si>
    <t>Култура говора</t>
  </si>
  <si>
    <t>Методика наставе српског језика и књижевности 1</t>
  </si>
  <si>
    <t xml:space="preserve">III </t>
  </si>
  <si>
    <t>ван. проф.</t>
  </si>
  <si>
    <t>Методика наставе ликовне културе 1</t>
  </si>
  <si>
    <t>Методика наставе музичке културе 2</t>
  </si>
  <si>
    <t>IV</t>
  </si>
  <si>
    <t>Методика развоја ритма, спорта и музике</t>
  </si>
  <si>
    <t>Универзитет у Београду</t>
  </si>
  <si>
    <t>Методика математичког моделовања</t>
  </si>
  <si>
    <t>Филмска и РТВ култура</t>
  </si>
  <si>
    <t>Српски језик 2</t>
  </si>
  <si>
    <t>Математика 2</t>
  </si>
  <si>
    <t>Школска и породична педагогија</t>
  </si>
  <si>
    <t>Филозофија са етиком</t>
  </si>
  <si>
    <t>Дидактика 2</t>
  </si>
  <si>
    <t>Основи биологије и екологије</t>
  </si>
  <si>
    <t>Методика наставе математике 1</t>
  </si>
  <si>
    <t>Методика наставе музичке културе 1</t>
  </si>
  <si>
    <t>Методика специјалног и инклузивног образовања</t>
  </si>
  <si>
    <t>Методика наставе српског језика и књижевности 2</t>
  </si>
  <si>
    <t>Методика наставе ликовне културе 2</t>
  </si>
  <si>
    <t>Завичајна географија</t>
  </si>
  <si>
    <t>Културна историја Срба</t>
  </si>
  <si>
    <t>Студијски програм: "Техничко образовање  и информатика"- (ТОИ)</t>
  </si>
  <si>
    <t>ПФ/ТОИ</t>
  </si>
  <si>
    <t>Физика 1</t>
  </si>
  <si>
    <t>др Светлана Пелемиш</t>
  </si>
  <si>
    <t>Технолошки факултет, Зворник</t>
  </si>
  <si>
    <t>Хемија 1</t>
  </si>
  <si>
    <t>Информатика</t>
  </si>
  <si>
    <t>др Предраг Катанић</t>
  </si>
  <si>
    <t>Енглески језик 1</t>
  </si>
  <si>
    <t>Физичко васпитање</t>
  </si>
  <si>
    <t>Психологија</t>
  </si>
  <si>
    <t>Електротехника 1</t>
  </si>
  <si>
    <t>др Слободан Лубура</t>
  </si>
  <si>
    <t>Архитектура рачунарских система</t>
  </si>
  <si>
    <t xml:space="preserve">Транспортна средства </t>
  </si>
  <si>
    <t>Оперативни системи</t>
  </si>
  <si>
    <t>Интернет програмирање</t>
  </si>
  <si>
    <t>Моделовање и симулације</t>
  </si>
  <si>
    <t>Дидактика</t>
  </si>
  <si>
    <t>Производња и предузетништво</t>
  </si>
  <si>
    <t>Физика 2</t>
  </si>
  <si>
    <t>Хемија 2</t>
  </si>
  <si>
    <t>Основи програмирања</t>
  </si>
  <si>
    <t>Енглески језик 2</t>
  </si>
  <si>
    <t>Географски информациони системи</t>
  </si>
  <si>
    <t>Електротехника 2</t>
  </si>
  <si>
    <t>Просторно планирање</t>
  </si>
  <si>
    <t>Рачунарске мреже и комуникације</t>
  </si>
  <si>
    <t>Технологија обраде</t>
  </si>
  <si>
    <t>Технологија и животна средина</t>
  </si>
  <si>
    <t>Методика наставе техничког образовања</t>
  </si>
  <si>
    <t>Методика наставе информатике</t>
  </si>
  <si>
    <t>Web дизајн</t>
  </si>
  <si>
    <t>Савремене дидактичко-методичке концепције у разредној настави</t>
  </si>
  <si>
    <t>Методологија научноистраживачког рада</t>
  </si>
  <si>
    <t>Савремена методика наставе српског језика и књижевности 1</t>
  </si>
  <si>
    <t>Савремена методика наставе математике 1</t>
  </si>
  <si>
    <t>Савремена методика наставе физичког васпитања 1</t>
  </si>
  <si>
    <t>Савремена методика наставе музичког васпитања 1</t>
  </si>
  <si>
    <t>Савремена методика наставе ликовног васпитања 1</t>
  </si>
  <si>
    <t>Савремене психолошке оријентације у настави и учењу у разредној настави</t>
  </si>
  <si>
    <t>Савремена методика наставе српског језика и књижевности 2</t>
  </si>
  <si>
    <t>Савремена методика наставе математике 2</t>
  </si>
  <si>
    <t>Савремена методика наставе физичког васпитања 2</t>
  </si>
  <si>
    <t>Савремена методика наставе музичког васпитања 2</t>
  </si>
  <si>
    <t>Савремена методика наставе ликовног васпитања 2</t>
  </si>
  <si>
    <t xml:space="preserve">Специјални курс савремене методике наставе српског језика и књижевности </t>
  </si>
  <si>
    <t>Специјални курс савремене методике наставе математике</t>
  </si>
  <si>
    <t>Специјални курс савремене методике наставе физичког васпитања</t>
  </si>
  <si>
    <t>Специјални курс савремене методике наставе музичког васпитања</t>
  </si>
  <si>
    <t>Специјални курс савремене методике наставе ликовног васпитања</t>
  </si>
  <si>
    <t>Методологија научних истраживања</t>
  </si>
  <si>
    <t>Сaвремени приступи и концепције у предшколском васпитању и образовању</t>
  </si>
  <si>
    <t>Дјечија књижевност у функцији развоја говора</t>
  </si>
  <si>
    <t>Развој говора дјеце и говорне игре</t>
  </si>
  <si>
    <t>Математичке игре у раној доби</t>
  </si>
  <si>
    <t>Почетни математички појмови и интегрисани предшколски курикулум</t>
  </si>
  <si>
    <t>Еколошка култура и предшколско дијете</t>
  </si>
  <si>
    <t>Систем предшколског васпитања у ф-ји развоја и планирања породице</t>
  </si>
  <si>
    <t>Методички аспекти савременог предшколског курикулума</t>
  </si>
  <si>
    <t>Теорије дјечије игре и рано учење</t>
  </si>
  <si>
    <t>Култура комуницирања у дјечијем вртићу</t>
  </si>
  <si>
    <t>Развој интегрисаног курикулума</t>
  </si>
  <si>
    <t>Даровитост у предшколској доби</t>
  </si>
  <si>
    <t>Инклузија у предшколском васпитању</t>
  </si>
  <si>
    <t>Окружење и предшколско дијете-сазнајни извори моје околине</t>
  </si>
  <si>
    <t>Предшколско дијете и музичка умјетност</t>
  </si>
  <si>
    <t>Предшколско дијете и инструментална музика</t>
  </si>
  <si>
    <t>Предшколско дијете и спорт</t>
  </si>
  <si>
    <t>Природни облици кретања у ф-ји развоја</t>
  </si>
  <si>
    <t>Предшколско дијете и ликовна умјетност</t>
  </si>
  <si>
    <t>Ликовно моделовање и креативност</t>
  </si>
  <si>
    <t>Здравствени и хигијенски аспекти развоја</t>
  </si>
  <si>
    <t>Насљеђе и репродуктивно здравље породице</t>
  </si>
  <si>
    <t>Менаџмент у предшколству</t>
  </si>
  <si>
    <t>Образовање и одрживи развој</t>
  </si>
  <si>
    <t xml:space="preserve">ПЕДАГОШКИ ФАКУЛТЕТ </t>
  </si>
  <si>
    <t>Страни језик (њемачки)</t>
  </si>
  <si>
    <t>Страни језик (енглески)</t>
  </si>
  <si>
    <t>факултет/
студијски програм</t>
  </si>
  <si>
    <t>Страни језик II (енглески)</t>
  </si>
  <si>
    <t>Страни језик II (њемачки)</t>
  </si>
  <si>
    <t>Развојна психологија</t>
  </si>
  <si>
    <t>Народна књижевност</t>
  </si>
  <si>
    <t>Популациона политика</t>
  </si>
  <si>
    <t>Игре и стваралаштво</t>
  </si>
  <si>
    <t>Оркестар</t>
  </si>
  <si>
    <t>Општа  психологија</t>
  </si>
  <si>
    <t>Ликовна култура</t>
  </si>
  <si>
    <t>Методика предшколског васпитања и образовања</t>
  </si>
  <si>
    <t>Кинезиометрија</t>
  </si>
  <si>
    <t>Дијете и сценска лутка</t>
  </si>
  <si>
    <t>виши аси.</t>
  </si>
  <si>
    <t>др Сања Милић</t>
  </si>
  <si>
    <t>ЕТФ, Источно Сарајево</t>
  </si>
  <si>
    <t>др Александар Дошић</t>
  </si>
  <si>
    <t xml:space="preserve"> </t>
  </si>
  <si>
    <t>др Драгомир Вуковић</t>
  </si>
  <si>
    <t>Седмично сати</t>
  </si>
  <si>
    <t>Хигијена и њега предшколске дјеце</t>
  </si>
  <si>
    <t>Покретне игре</t>
  </si>
  <si>
    <t>Дјечије ликовно стваралаштво</t>
  </si>
  <si>
    <t>Методичка пракса 1</t>
  </si>
  <si>
    <t>Методичка пракса 2</t>
  </si>
  <si>
    <t>Педагошка пракса</t>
  </si>
  <si>
    <t>Информатика за васпитаче</t>
  </si>
  <si>
    <t>Ментално здравље предшколске дјеце</t>
  </si>
  <si>
    <t>др Небојша Митровић</t>
  </si>
  <si>
    <t>ЗАПОСЛЕНИ У ПУНОМ РАДНОМ ОДНОСУ (П)</t>
  </si>
  <si>
    <t>НАСТАВНИЦИ</t>
  </si>
  <si>
    <t>Р.бр.</t>
  </si>
  <si>
    <t>Име и презиме</t>
  </si>
  <si>
    <t>Семестар</t>
  </si>
  <si>
    <t>Норма</t>
  </si>
  <si>
    <t>ДУИС предавања</t>
  </si>
  <si>
    <t>ПФ</t>
  </si>
  <si>
    <t>Укупно (П)</t>
  </si>
  <si>
    <t>ДУИС вјежбе</t>
  </si>
  <si>
    <t>Укупно (В)</t>
  </si>
  <si>
    <t>Укупно</t>
  </si>
  <si>
    <t>%</t>
  </si>
  <si>
    <t>Просјечно по сем.</t>
  </si>
  <si>
    <t>У норми</t>
  </si>
  <si>
    <t>Преко норме</t>
  </si>
  <si>
    <t>Број предмета</t>
  </si>
  <si>
    <t xml:space="preserve">ФПЕ </t>
  </si>
  <si>
    <t>Маш.</t>
  </si>
  <si>
    <t>Филоз.</t>
  </si>
  <si>
    <t>Пољоп.</t>
  </si>
  <si>
    <t>Екон. БЧ</t>
  </si>
  <si>
    <t>Музич.</t>
  </si>
  <si>
    <t>Технол.</t>
  </si>
  <si>
    <t>зимски</t>
  </si>
  <si>
    <t>летњи</t>
  </si>
  <si>
    <t>Зимски</t>
  </si>
  <si>
    <t>Летњи</t>
  </si>
  <si>
    <t>Др Владо Симеуновић</t>
  </si>
  <si>
    <t>Др Миленко Ћурчић</t>
  </si>
  <si>
    <t>Др Стана Цвејић</t>
  </si>
  <si>
    <t>Др Јелина Ђурковић</t>
  </si>
  <si>
    <t>Др Далибор Стевић</t>
  </si>
  <si>
    <t>Др Десанка Тракиловић</t>
  </si>
  <si>
    <t>Др Оливера 
Петровић-Томанић</t>
  </si>
  <si>
    <t>Др Татјана Думитрашковић</t>
  </si>
  <si>
    <t>Др Сања Опсеница</t>
  </si>
  <si>
    <t>Др Драгица Милинковић</t>
  </si>
  <si>
    <t>Др Милена Ивановић</t>
  </si>
  <si>
    <t>мр Гордана Спасојевић
-Стојановић</t>
  </si>
  <si>
    <t>УКУПНО:</t>
  </si>
  <si>
    <t>САРАДНИЦИ</t>
  </si>
  <si>
    <t>ЗАПОСЛЕНИ СА УНИВЕРЗИТЕТА (ДОПУНСКИ РАДНИ ОДНОС - ДУИС)</t>
  </si>
  <si>
    <t>-</t>
  </si>
  <si>
    <t>ЗАПОСЛЕНИ У ДОПУНСКОМ РАДНОМ ОДНОСУ (ДО 50%)</t>
  </si>
  <si>
    <t>ЗАПОСЛЕНИ ПРЕМА УГОВОРУ О АНГАЖОВАЊУ (ХОНОРАРЦИ)</t>
  </si>
  <si>
    <t>Др Драган Мартиновић</t>
  </si>
  <si>
    <t xml:space="preserve"> др Марица Травар</t>
  </si>
  <si>
    <t xml:space="preserve">
др Драгана Радивојевић</t>
  </si>
  <si>
    <t>др Љубо Шкиљевић</t>
  </si>
  <si>
    <t>Број група
П</t>
  </si>
  <si>
    <t>Број група
В</t>
  </si>
  <si>
    <t>Број група
Л</t>
  </si>
  <si>
    <t xml:space="preserve">Седмично сати
</t>
  </si>
  <si>
    <t>др Наташа Цвијановић</t>
  </si>
  <si>
    <t>виши асис.</t>
  </si>
  <si>
    <t>др Саша Ђукић</t>
  </si>
  <si>
    <t>Рачунари у предшколским установама</t>
  </si>
  <si>
    <t>Математичко моделовање природне и 
друштвене средине</t>
  </si>
  <si>
    <t>Професионална пракса 1</t>
  </si>
  <si>
    <t>Професионална пракса 2</t>
  </si>
  <si>
    <t>Машинство 1</t>
  </si>
  <si>
    <t>Машинство 2</t>
  </si>
  <si>
    <t>Основи архитектуре и грађевинарства</t>
  </si>
  <si>
    <t>Национална историја</t>
  </si>
  <si>
    <t>Историја књижевности</t>
  </si>
  <si>
    <t>Кинезиологија</t>
  </si>
  <si>
    <t>Функционална стилистика</t>
  </si>
  <si>
    <t>др Драга Мастиловић</t>
  </si>
  <si>
    <t>Филозофски фак, Пале</t>
  </si>
  <si>
    <t>др Лидија Јовичић</t>
  </si>
  <si>
    <t xml:space="preserve">Др Вељко Брборић </t>
  </si>
  <si>
    <t>Музичка
академ.</t>
  </si>
  <si>
    <t>Д</t>
  </si>
  <si>
    <t>Страни језик I (њемачки)</t>
  </si>
  <si>
    <t>Страни језик I (енглески)</t>
  </si>
  <si>
    <t>Методологија научног истраживања</t>
  </si>
  <si>
    <t>ПФ/ИО</t>
  </si>
  <si>
    <t>Педагошко-психолошке основе информатике у образовању</t>
  </si>
  <si>
    <t>Језик, комуникација и медији</t>
  </si>
  <si>
    <t>Пројектовање рачунарских мрежа</t>
  </si>
  <si>
    <t>Примјена информатике у антрополошким истраживањима</t>
  </si>
  <si>
    <t>Мултимедијални системи</t>
  </si>
  <si>
    <t>Информациони системи у образовању</t>
  </si>
  <si>
    <t>Географско информациони системи и становништво</t>
  </si>
  <si>
    <t>Објектно оријентисано програмирање</t>
  </si>
  <si>
    <t>Енглески језик</t>
  </si>
  <si>
    <t>Далиборка Јанковић</t>
  </si>
  <si>
    <t>др Радомир Кнежевић</t>
  </si>
  <si>
    <t>др Стојан Шљука</t>
  </si>
  <si>
    <t>Министарство РСрпске</t>
  </si>
  <si>
    <t>Ментално здравље и дијете</t>
  </si>
  <si>
    <t>виши асистент</t>
  </si>
  <si>
    <t>Социјална заштита предшколске дјеце</t>
  </si>
  <si>
    <t>Њемачки језик у ИТ</t>
  </si>
  <si>
    <t>Базе података</t>
  </si>
  <si>
    <t>Програмски језици</t>
  </si>
  <si>
    <t>Теоријско методички проблеми наставе</t>
  </si>
  <si>
    <t>Управљање и руковођење школом</t>
  </si>
  <si>
    <t>Математичко моделовање примјеном ИТ</t>
  </si>
  <si>
    <t>Заштита информационих система</t>
  </si>
  <si>
    <t>Интилгентне технологије у образовању</t>
  </si>
  <si>
    <t>Савремена методика наставе информатике</t>
  </si>
  <si>
    <t>Напредни ГИС</t>
  </si>
  <si>
    <t>WEB портали учење на даљину</t>
  </si>
  <si>
    <t>Управљање пројектима у образовању</t>
  </si>
  <si>
    <t>Геопросторне базе података</t>
  </si>
  <si>
    <t>Напредне WEB технологије</t>
  </si>
  <si>
    <t>O</t>
  </si>
  <si>
    <t>И</t>
  </si>
  <si>
    <t>О</t>
  </si>
  <si>
    <t>др Бранислав Драшковић</t>
  </si>
  <si>
    <t>Дејан Стевић</t>
  </si>
  <si>
    <t xml:space="preserve">асистент
</t>
  </si>
  <si>
    <t>Слађана Митровић, мр</t>
  </si>
  <si>
    <t>Ма Раде Божић</t>
  </si>
  <si>
    <t>Студијски програм: "Предшколско васпитање и образовање - 60 ECTS" (ПВО)</t>
  </si>
  <si>
    <t>Студијски програм: "Предшколско васпитање и образовање - 240 ECTS" (ПВО)</t>
  </si>
  <si>
    <t>Студијски програм: " Разредна настава - 240 ECTS " - (РН)</t>
  </si>
  <si>
    <t>Студијски програм: " Разредна настава - 60 ECTS" - (РН) - II циклус</t>
  </si>
  <si>
    <t>Студијски програм: " Предшколско васпитање - 120 ECTS" - (ПО) - II циклус</t>
  </si>
  <si>
    <t>Студијски програм: " Информатика у образовању - 120 ECTS"  - II циклус</t>
  </si>
  <si>
    <t>Методологија научног истраживачког рада</t>
  </si>
  <si>
    <t>Развој говора и писмености у интегрисаном курикулуму</t>
  </si>
  <si>
    <t>Елементарни математички појмови у интегрисаном курикулуму</t>
  </si>
  <si>
    <t>Природна и друштвена средина у интегрисаном курикулуму</t>
  </si>
  <si>
    <t xml:space="preserve">
З</t>
  </si>
  <si>
    <t xml:space="preserve">
И</t>
  </si>
  <si>
    <t xml:space="preserve">
I</t>
  </si>
  <si>
    <t xml:space="preserve">
ПФ/ПВО</t>
  </si>
  <si>
    <t>Физичко васпитање у интегрисаном курикулуму</t>
  </si>
  <si>
    <t>Музичка култура у интегрисаном курикулуму</t>
  </si>
  <si>
    <t>Ликовна култура у интегрисаном курикулуму</t>
  </si>
  <si>
    <t>Савремене токови методике   развоја говора и писмености</t>
  </si>
  <si>
    <t>Савремени токови  методике  развоја елементарних математичких појмова</t>
  </si>
  <si>
    <t>Савремене токови методике упознавања природне и друштвене средине</t>
  </si>
  <si>
    <t>Савремени токови методике музичког васпитања</t>
  </si>
  <si>
    <t>Савремени токови методике физичког васпитања</t>
  </si>
  <si>
    <t>Савремени токови методике ликовног васпитања</t>
  </si>
  <si>
    <t>Књижевност за дјецу у функцији развоја говора</t>
  </si>
  <si>
    <t>Математичке игре у  раној доби</t>
  </si>
  <si>
    <t>Систем предшколског васпитања у функцији развоја и планирања породице</t>
  </si>
  <si>
    <t>Истраживања  у  физичком васпитању</t>
  </si>
  <si>
    <t>Ликовно моделовање и креативност дјеце</t>
  </si>
  <si>
    <t>Савремени токови еколошког васпитања</t>
  </si>
  <si>
    <t>Савремени токови инклузивног васпитања</t>
  </si>
  <si>
    <t>Увод у методологију истраживања у разредној настави</t>
  </si>
  <si>
    <t>ред. проф.
ред. проф.
ред. проф.</t>
  </si>
  <si>
    <t>Педагошки факултет, Бијељина</t>
  </si>
  <si>
    <t>Методологија квантитативних и квалитативних истраживања у разредној настави</t>
  </si>
  <si>
    <t xml:space="preserve">
Педагошки факултет, Бијељина
</t>
  </si>
  <si>
    <t>Теоријско-методолошки проблеми методике разредне наставе</t>
  </si>
  <si>
    <t>Савремени токови методике наставе природе и друштва</t>
  </si>
  <si>
    <t>Савремени токови методике разредне наставе физичког васпитања</t>
  </si>
  <si>
    <t>Савремена научна схватања природе</t>
  </si>
  <si>
    <t>Савремена научна схватања друштвених процеса</t>
  </si>
  <si>
    <t>Кинезиолошка антропологија у разредној настави</t>
  </si>
  <si>
    <t>Програмирање трансформационих процеса у разредној настави</t>
  </si>
  <si>
    <t xml:space="preserve">
ред. проф.
доцент</t>
  </si>
  <si>
    <t>Педагошки факултет Бијељина
Педагошки факултет Сомбор</t>
  </si>
  <si>
    <t>Студијски програм: Разредна настава III циклус</t>
  </si>
  <si>
    <t>1. др Далибор Стевић
2. др Небојша Митровић</t>
  </si>
  <si>
    <t xml:space="preserve">ПФ БН, РН
III циклус </t>
  </si>
  <si>
    <t xml:space="preserve">
1. др Далибор Стевић
2. др Драган Цвејић</t>
  </si>
  <si>
    <t>Економ.
Брчко</t>
  </si>
  <si>
    <t>Саобр.
Добој</t>
  </si>
  <si>
    <t>Ликовне технике и поступци</t>
  </si>
  <si>
    <t xml:space="preserve">Методика наставе математике 2 </t>
  </si>
  <si>
    <t>Психосоцијална помоћ у школи</t>
  </si>
  <si>
    <t>мр Никола Кукрић</t>
  </si>
  <si>
    <t>др Александра Новаковић</t>
  </si>
  <si>
    <t>др Слађана Петронић</t>
  </si>
  <si>
    <t>Технолошки процеси у функцији заштите 
животне средине</t>
  </si>
  <si>
    <t>Добринко Дринић</t>
  </si>
  <si>
    <t>Материјали</t>
  </si>
  <si>
    <t>Машински елементи</t>
  </si>
  <si>
    <t>Графички дизајн</t>
  </si>
  <si>
    <t>Машински факултет, УИС</t>
  </si>
  <si>
    <t>Савремени токови методике разредне наставе алгебре</t>
  </si>
  <si>
    <t>Савремени токови методике разредне наставе математике</t>
  </si>
  <si>
    <t>Савремени токови методике разредне наставе геометрије</t>
  </si>
  <si>
    <t xml:space="preserve">
Педагошки факултет, Бијељина
</t>
  </si>
  <si>
    <t>др Јелена Тракиловић</t>
  </si>
  <si>
    <t xml:space="preserve"> Владан Тодић, мастер</t>
  </si>
  <si>
    <t>Весна Вујичић, мастер</t>
  </si>
  <si>
    <t xml:space="preserve"> Рада Мандић, мастер</t>
  </si>
  <si>
    <t>Наташа Марић, мастер</t>
  </si>
  <si>
    <t>Машинс.</t>
  </si>
  <si>
    <t>Број:</t>
  </si>
  <si>
    <t>Датум:</t>
  </si>
  <si>
    <t>др Александар Ђурић</t>
  </si>
  <si>
    <t>Универзитет Нови Сад</t>
  </si>
  <si>
    <t>др Биљана Ковачевић</t>
  </si>
  <si>
    <t>1. др Небојша Митровић
2. др Далибор Стевић</t>
  </si>
  <si>
    <t>др Биљана Марковић</t>
  </si>
  <si>
    <t>ред. проф.
ред. проф.
ванр. проф.</t>
  </si>
  <si>
    <t>Јелена Тракиловић</t>
  </si>
  <si>
    <t>виши асист.</t>
  </si>
  <si>
    <t>Сузана Бунчић</t>
  </si>
  <si>
    <t>Неда Гаврић</t>
  </si>
  <si>
    <t>др Небојша Ралевић</t>
  </si>
  <si>
    <t>Миломирка Обреновић</t>
  </si>
  <si>
    <t>Бр. група</t>
  </si>
  <si>
    <t>Седм. сати</t>
  </si>
  <si>
    <t>Часови
 наставе</t>
  </si>
  <si>
    <t xml:space="preserve">Статус
наставе </t>
  </si>
  <si>
    <t>семес
тар
З/Љ</t>
  </si>
  <si>
    <t>Год.
студија</t>
  </si>
  <si>
    <t>Интегрисани курикулум у предшколском образовању</t>
  </si>
  <si>
    <t xml:space="preserve">ПРИЈЕДЛОГ ЛИСТЕ ОДГОВОРНИХ НАСТАВНИКА И САРАДНИКА </t>
  </si>
  <si>
    <t>Ред. бр.</t>
  </si>
  <si>
    <t>Мјесто запослења
и становања</t>
  </si>
  <si>
    <t>Универзитет у Приштини</t>
  </si>
  <si>
    <t>Страни језик (италијански)</t>
  </si>
  <si>
    <t>Страни језик (руски)</t>
  </si>
  <si>
    <t>Хорско пјевање 1</t>
  </si>
  <si>
    <t>Страни језик (руски</t>
  </si>
  <si>
    <t>Свирање на инструменту</t>
  </si>
  <si>
    <t>Елементарна теорија бројева</t>
  </si>
  <si>
    <t>Општа музичка култура</t>
  </si>
  <si>
    <t>Енглески језик пословне комуникације</t>
  </si>
  <si>
    <t>Хорско пјевање 2</t>
  </si>
  <si>
    <t>Задаци у предшколској математици</t>
  </si>
  <si>
    <t>Корективно вјежбање</t>
  </si>
  <si>
    <t xml:space="preserve">Методика физчког васпитања 1
Методика физичког развоја </t>
  </si>
  <si>
    <t xml:space="preserve">
Методика елементарних математичких појмова 1
Методика развоја математичких способности у раном дјетињству</t>
  </si>
  <si>
    <t>Методика ликовног васпитања 1
Методика ликовног стваралаштва и изражавања</t>
  </si>
  <si>
    <t>Основи неуронаука у образовању и кинезиологији</t>
  </si>
  <si>
    <t>Интеракција и комуникација у васпитању</t>
  </si>
  <si>
    <t>Модерна англофона проза за дјецу</t>
  </si>
  <si>
    <t>Хорско пјевање 3</t>
  </si>
  <si>
    <t>Хорско пјевање 4</t>
  </si>
  <si>
    <t xml:space="preserve">Методика елементарних математичких појмова 2
Методика елементарних математичких појмова </t>
  </si>
  <si>
    <t>Методика упознавања околине 2
Методика упознавања околине</t>
  </si>
  <si>
    <t>Лана Шикуљак</t>
  </si>
  <si>
    <t>Лидија Јовичић</t>
  </si>
  <si>
    <t>Нина Ћеклић</t>
  </si>
  <si>
    <t>Драгана Ваљаревић</t>
  </si>
  <si>
    <t>Татјана Думитрашковић</t>
  </si>
  <si>
    <t>Љубо Шкиљевић</t>
  </si>
  <si>
    <t>Драгица Милинковић</t>
  </si>
  <si>
    <t>Александар Ђурић</t>
  </si>
  <si>
    <t>Сања Опсеница</t>
  </si>
  <si>
    <t>Владо Симеуновић</t>
  </si>
  <si>
    <t>Далибор Стевић</t>
  </si>
  <si>
    <t>Ранко Рајовић</t>
  </si>
  <si>
    <t>Слађана Миљеновић</t>
  </si>
  <si>
    <t>Саша Ђукић</t>
  </si>
  <si>
    <t>Драгана Радивојевић</t>
  </si>
  <si>
    <t>Љубо Недовић</t>
  </si>
  <si>
    <t>Марица Травар</t>
  </si>
  <si>
    <t>Страни језик за дјецу-италијански</t>
  </si>
  <si>
    <t>Страни језик за дјецу-руски</t>
  </si>
  <si>
    <t>Наташа Цвијановић</t>
  </si>
  <si>
    <t>Сања Милић</t>
  </si>
  <si>
    <t>Небојша Митровић</t>
  </si>
  <si>
    <t>Оливера Петровић</t>
  </si>
  <si>
    <t>Методика музичког васпитања 1
Методика развоја музичких способности</t>
  </si>
  <si>
    <t>Десанка Тракиловић</t>
  </si>
  <si>
    <t>Методика упознавања околине 1
Истраживачке активности упознавања околине</t>
  </si>
  <si>
    <t>Владимир Илић</t>
  </si>
  <si>
    <t>Александра Новаковић</t>
  </si>
  <si>
    <t>Индивидуализација у предшколском математичком образовању</t>
  </si>
  <si>
    <t>Активности у природи</t>
  </si>
  <si>
    <t xml:space="preserve">Методика физичког васпитања 2
Кинезиолошка методика </t>
  </si>
  <si>
    <t xml:space="preserve">Методика музичког васпитања 2
Методика музичког васпитања </t>
  </si>
  <si>
    <t>Гордана Спасојевић-Стојановић</t>
  </si>
  <si>
    <t xml:space="preserve">Методика ликовног васпитања 2
Методика ликовног васпитања </t>
  </si>
  <si>
    <t>Дијете, истраживач природне и друштвене средине</t>
  </si>
  <si>
    <t>Адаптирано физичко вјежбање</t>
  </si>
  <si>
    <t>Вељко Брборић</t>
  </si>
  <si>
    <t>Страни језик I (руски)</t>
  </si>
  <si>
    <t>Страни језик I (италијански)</t>
  </si>
  <si>
    <t>Историја буквара и српске ћирилице</t>
  </si>
  <si>
    <t>Милена Ивановић</t>
  </si>
  <si>
    <t>Драга Мастиловић</t>
  </si>
  <si>
    <t>Методика наставе физичког васпитања 1
Основи физичке културе</t>
  </si>
  <si>
    <t>Даровитост и креативност у настави математике</t>
  </si>
  <si>
    <t>Стратегије читања  унастави српског језика и књижевности</t>
  </si>
  <si>
    <t>Методика наставе природе и друштва 2
Методика наставе ПП и ПД 2</t>
  </si>
  <si>
    <t xml:space="preserve">Методика наставе физичког васпитања 2
Методика наставе физичког васпитања
</t>
  </si>
  <si>
    <t>Општа педагогија
Педагогија</t>
  </si>
  <si>
    <t>Страни језик II (руски)</t>
  </si>
  <si>
    <t>Страни језик II (италијански)</t>
  </si>
  <si>
    <t>Дигитални свијет и основи информатике
Основи информатике и образовне технологије</t>
  </si>
  <si>
    <t>Данимир Мандић</t>
  </si>
  <si>
    <t>Методика математике у старијим разредима</t>
  </si>
  <si>
    <t>Методика наставе природе и друштва 1
Методика наставе ПП и ПД 1</t>
  </si>
  <si>
    <t>Васпитни рад у одјељенској заједници</t>
  </si>
  <si>
    <t>Дијете, истраживач у настави природе и друштва</t>
  </si>
  <si>
    <t>Светлана Пелемиш</t>
  </si>
  <si>
    <t>Небојша Ралевић</t>
  </si>
  <si>
    <t>Биљана Марковић</t>
  </si>
  <si>
    <t>Слободан Лубура</t>
  </si>
  <si>
    <t>Никола Кукрић</t>
  </si>
  <si>
    <t>Ацо Антић</t>
  </si>
  <si>
    <t>Универз. у НС</t>
  </si>
  <si>
    <t>Срђан Попов</t>
  </si>
  <si>
    <t>Предраг Катанић</t>
  </si>
  <si>
    <t>Александар Дошић</t>
  </si>
  <si>
    <t>Раде Божић</t>
  </si>
  <si>
    <t>Владо Медаковић</t>
  </si>
  <si>
    <t>Универз. у БГ</t>
  </si>
  <si>
    <t>Универзитет у БГ</t>
  </si>
  <si>
    <t>Универзитет НС</t>
  </si>
  <si>
    <t xml:space="preserve">
1. др Далибор Стевић
2. др Данимир Мандић
3. др Владо  Симеуновић
</t>
  </si>
  <si>
    <t>Методика развоја говора 1
Методика развоја говора</t>
  </si>
  <si>
    <t xml:space="preserve">
Методика развоја говора 2
Методика говорне комуникације</t>
  </si>
  <si>
    <t xml:space="preserve">
ван. проф.
ред. проф.</t>
  </si>
  <si>
    <t xml:space="preserve">
Педагошки факултет, Ужице
</t>
  </si>
  <si>
    <t>ред. проф.
ван. проф.</t>
  </si>
  <si>
    <t>Израда и евалуација пројекта докторске дисертације у методици  наставе природе и друштва</t>
  </si>
  <si>
    <t xml:space="preserve">Педагошки факултет Бијељина
</t>
  </si>
  <si>
    <t>Израда и евалуација пројекта докторске дисертације у методици разредне наставе физичког васпитања</t>
  </si>
  <si>
    <t>Израда и евалуација пројекта докторске дисертације у методици разредне наставе математике</t>
  </si>
  <si>
    <t xml:space="preserve">
1. др Далибор Стевић
2. др Небојша Митровић</t>
  </si>
  <si>
    <t>Др Нина Ћеклић</t>
  </si>
  <si>
    <t>др Слађана Миљеновић</t>
  </si>
  <si>
    <t>др Сузана Бунчић</t>
  </si>
  <si>
    <t>др Владо Медаковић</t>
  </si>
  <si>
    <t>Лана Шикуљак, ма</t>
  </si>
  <si>
    <t>др Живко Ерцег</t>
  </si>
  <si>
    <t>др Ацо Антић</t>
  </si>
  <si>
    <t>др Љубо Недовић</t>
  </si>
  <si>
    <t>др Владимир Илић</t>
  </si>
  <si>
    <t>др Срђан Попов</t>
  </si>
  <si>
    <t>др Драгана Ваљаревић</t>
  </si>
  <si>
    <t xml:space="preserve">Далибор Стевић
</t>
  </si>
  <si>
    <t>Државно уређење и школско законодавство</t>
  </si>
  <si>
    <t>Јелена Старчевић</t>
  </si>
  <si>
    <t>др Јелена Старчевић</t>
  </si>
  <si>
    <t xml:space="preserve"> Рада Голуб, мастер</t>
  </si>
  <si>
    <t>Ликовна култура и естетика</t>
  </si>
  <si>
    <t>Природни и људски ресурси</t>
  </si>
  <si>
    <t>Др Оливера 
Петровић</t>
  </si>
  <si>
    <t>др Весна Стојаковић</t>
  </si>
  <si>
    <t>Невена Ступар</t>
  </si>
  <si>
    <t>Ф</t>
  </si>
  <si>
    <t>1. др Владо Симеуновић
2. др Сања Опсеница
3. др Сања Милић</t>
  </si>
  <si>
    <t>1. . др Драгица Милинковић</t>
  </si>
  <si>
    <t>Слађана Игњатовић</t>
  </si>
  <si>
    <t>Пољопривредни факултет УИС</t>
  </si>
  <si>
    <t>Министарство просвјете и културе РС</t>
  </si>
  <si>
    <t>Исидора Ђурић</t>
  </si>
  <si>
    <t>Стефан Стјепановић</t>
  </si>
  <si>
    <t xml:space="preserve">
1. др Желимир Драгић
</t>
  </si>
  <si>
    <t xml:space="preserve">
доцент.</t>
  </si>
  <si>
    <t>Универзитет у БЛ</t>
  </si>
  <si>
    <t xml:space="preserve">
1. др Александар Ђурић
2. др Марица Травар
</t>
  </si>
  <si>
    <t xml:space="preserve">ван. проф.
ван. проф.
</t>
  </si>
  <si>
    <t xml:space="preserve">
Педагошки факултет УИС
</t>
  </si>
  <si>
    <t>Миљан Попић</t>
  </si>
  <si>
    <t>Весна Тодоровић</t>
  </si>
  <si>
    <t>ванр. проф.</t>
  </si>
  <si>
    <t xml:space="preserve">
ред. проф.
ван. проф</t>
  </si>
  <si>
    <t>Александар Ваљаревић</t>
  </si>
  <si>
    <t>Х</t>
  </si>
  <si>
    <t>Горан Митровић</t>
  </si>
  <si>
    <t>1.  др Драгица Милинковић
2.  др Драгана Ваљаревић</t>
  </si>
  <si>
    <t xml:space="preserve">Педагошки факултет, Бијељина, Природно -математички факултет Косвска Митровица, Универзитет у Приштини
</t>
  </si>
  <si>
    <t xml:space="preserve">
Педагошки факултет, Бијељина, Природно -математички факултет Косвска Митровица, Универзитет у Приштини
</t>
  </si>
  <si>
    <t>1. др Драгица Милинковић
2.  др Драгана Ваљаревић</t>
  </si>
  <si>
    <t>Педагошки факултет, Бијељина, Природно -математички факултет Косвска Митровица, Универзитет у Приштини</t>
  </si>
  <si>
    <t xml:space="preserve">
1. др Небојша Митровић
2. др Слободан Павловић
</t>
  </si>
  <si>
    <t xml:space="preserve">ван. проф.
доцент
</t>
  </si>
  <si>
    <t xml:space="preserve">Педагошки факултет Учитељски факултет, Ужице
</t>
  </si>
  <si>
    <t>У АКАДЕМСКОЈ 2025/2026 ГОДИНИ - ПРВИ,  ДРУГИ И ТРЕЋИ ЦИКЛУС СТУДИЈА</t>
  </si>
  <si>
    <t>Академски енглески језик</t>
  </si>
  <si>
    <t>Психолошке теорије о дјечијем развоју и учењу</t>
  </si>
  <si>
    <t>Кинезиолошка истраживања у неуронаукама</t>
  </si>
  <si>
    <t>Академско писање</t>
  </si>
  <si>
    <t>Савремена методика наставе природе и друштва 1</t>
  </si>
  <si>
    <t>Савремена методика наставе природе и друштва 2</t>
  </si>
  <si>
    <t>Специјални курс савремене методике наставе природе и друштва</t>
  </si>
  <si>
    <t xml:space="preserve">1.Неда Гаврић
2. др Драгана Радивојевић
</t>
  </si>
  <si>
    <t xml:space="preserve">доцент
ван. проф.
</t>
  </si>
  <si>
    <t xml:space="preserve">
1. др Драгана Радивојевић
2. Неда Гаврић</t>
  </si>
  <si>
    <t xml:space="preserve">
ванр. проф
доцент.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</si>
</sst>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6"/>
      <color indexed="8"/>
      <name val="Calibri"/>
      <family val="2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238"/>
    </font>
    <font>
      <sz val="10"/>
      <color indexed="8"/>
      <name val="Arial"/>
      <family val="2"/>
    </font>
    <font>
      <sz val="16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color theme="1"/>
      <name val="Calibri"/>
      <family val="2"/>
      <charset val="238"/>
    </font>
    <font>
      <b/>
      <u/>
      <sz val="14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8"/>
      <color indexed="8"/>
      <name val="Times New Roman"/>
      <family val="1"/>
    </font>
    <font>
      <sz val="8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0"/>
      <color indexed="8"/>
      <name val="Times New Roman"/>
      <family val="1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3">
    <xf numFmtId="0" fontId="0" fillId="0" borderId="0" xfId="0"/>
    <xf numFmtId="0" fontId="1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10" fillId="3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 wrapText="1"/>
    </xf>
    <xf numFmtId="0" fontId="17" fillId="0" borderId="0" xfId="0" applyFont="1"/>
    <xf numFmtId="0" fontId="11" fillId="0" borderId="0" xfId="0" applyFont="1" applyAlignment="1">
      <alignment horizontal="left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0" fillId="5" borderId="2" xfId="0" applyFill="1" applyBorder="1"/>
    <xf numFmtId="0" fontId="18" fillId="4" borderId="16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8" fillId="7" borderId="0" xfId="0" applyFont="1" applyFill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22" fillId="0" borderId="0" xfId="0" applyFont="1"/>
    <xf numFmtId="0" fontId="11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13" borderId="2" xfId="0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11" borderId="5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1" fontId="11" fillId="6" borderId="2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8" fillId="9" borderId="2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27" fillId="1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0" fillId="0" borderId="3" xfId="0" applyBorder="1"/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wrapText="1"/>
    </xf>
    <xf numFmtId="0" fontId="6" fillId="5" borderId="0" xfId="0" applyFont="1" applyFill="1" applyAlignment="1">
      <alignment horizontal="left" vertical="top" wrapText="1"/>
    </xf>
    <xf numFmtId="0" fontId="11" fillId="7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1" fontId="11" fillId="7" borderId="2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vertical="top" wrapText="1"/>
    </xf>
    <xf numFmtId="0" fontId="29" fillId="0" borderId="2" xfId="0" applyFont="1" applyBorder="1" applyAlignment="1">
      <alignment horizontal="left"/>
    </xf>
    <xf numFmtId="0" fontId="29" fillId="0" borderId="2" xfId="0" applyFont="1" applyBorder="1"/>
    <xf numFmtId="0" fontId="28" fillId="4" borderId="2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1" fillId="14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14" borderId="2" xfId="0" applyFont="1" applyFill="1" applyBorder="1"/>
    <xf numFmtId="0" fontId="11" fillId="6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6" fillId="5" borderId="0" xfId="0" applyFont="1" applyFill="1" applyAlignment="1">
      <alignment horizontal="center" vertical="top" wrapText="1"/>
    </xf>
    <xf numFmtId="0" fontId="29" fillId="0" borderId="0" xfId="0" applyFont="1" applyAlignment="1">
      <alignment wrapText="1"/>
    </xf>
    <xf numFmtId="0" fontId="29" fillId="0" borderId="2" xfId="0" applyFont="1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0" fillId="5" borderId="0" xfId="0" applyFill="1"/>
    <xf numFmtId="0" fontId="10" fillId="5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wrapText="1"/>
    </xf>
    <xf numFmtId="0" fontId="29" fillId="5" borderId="2" xfId="0" applyFont="1" applyFill="1" applyBorder="1" applyAlignment="1">
      <alignment wrapText="1"/>
    </xf>
    <xf numFmtId="0" fontId="19" fillId="5" borderId="2" xfId="0" applyFont="1" applyFill="1" applyBorder="1" applyAlignment="1">
      <alignment horizontal="center" vertical="top" wrapText="1"/>
    </xf>
    <xf numFmtId="0" fontId="0" fillId="16" borderId="2" xfId="0" applyFill="1" applyBorder="1"/>
    <xf numFmtId="0" fontId="7" fillId="5" borderId="2" xfId="0" applyFont="1" applyFill="1" applyBorder="1" applyAlignment="1">
      <alignment horizontal="center" vertical="top"/>
    </xf>
    <xf numFmtId="0" fontId="11" fillId="14" borderId="5" xfId="0" applyFont="1" applyFill="1" applyBorder="1" applyAlignment="1">
      <alignment horizontal="center"/>
    </xf>
    <xf numFmtId="0" fontId="2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9" fillId="5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center" vertical="top" wrapText="1"/>
    </xf>
    <xf numFmtId="0" fontId="30" fillId="0" borderId="2" xfId="0" applyFont="1" applyBorder="1"/>
    <xf numFmtId="0" fontId="30" fillId="0" borderId="0" xfId="0" applyFont="1"/>
    <xf numFmtId="0" fontId="30" fillId="0" borderId="2" xfId="0" applyFont="1" applyBorder="1" applyAlignment="1">
      <alignment wrapText="1"/>
    </xf>
    <xf numFmtId="0" fontId="29" fillId="0" borderId="2" xfId="0" applyFont="1" applyBorder="1" applyAlignment="1">
      <alignment horizontal="center"/>
    </xf>
    <xf numFmtId="0" fontId="32" fillId="3" borderId="19" xfId="0" applyFont="1" applyFill="1" applyBorder="1" applyAlignment="1">
      <alignment wrapText="1"/>
    </xf>
    <xf numFmtId="0" fontId="32" fillId="3" borderId="13" xfId="0" applyFont="1" applyFill="1" applyBorder="1" applyAlignment="1">
      <alignment wrapText="1"/>
    </xf>
    <xf numFmtId="0" fontId="32" fillId="5" borderId="2" xfId="0" applyFont="1" applyFill="1" applyBorder="1" applyAlignment="1">
      <alignment wrapText="1"/>
    </xf>
    <xf numFmtId="0" fontId="32" fillId="3" borderId="20" xfId="0" applyFont="1" applyFill="1" applyBorder="1" applyAlignment="1">
      <alignment wrapText="1"/>
    </xf>
    <xf numFmtId="0" fontId="33" fillId="0" borderId="21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29" fillId="0" borderId="0" xfId="0" applyFont="1" applyAlignment="1">
      <alignment horizontal="center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28" fillId="7" borderId="5" xfId="0" applyFont="1" applyFill="1" applyBorder="1" applyAlignment="1">
      <alignment horizontal="center"/>
    </xf>
    <xf numFmtId="0" fontId="33" fillId="0" borderId="23" xfId="0" applyFont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32" fillId="5" borderId="12" xfId="0" applyFont="1" applyFill="1" applyBorder="1" applyAlignment="1">
      <alignment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18" fillId="4" borderId="1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34" fillId="0" borderId="0" xfId="0" applyFont="1"/>
    <xf numFmtId="0" fontId="35" fillId="0" borderId="0" xfId="0" applyFont="1"/>
    <xf numFmtId="0" fontId="34" fillId="0" borderId="4" xfId="0" applyFont="1" applyBorder="1"/>
    <xf numFmtId="0" fontId="34" fillId="0" borderId="4" xfId="0" applyFont="1" applyBorder="1" applyAlignment="1">
      <alignment horizontal="center"/>
    </xf>
    <xf numFmtId="1" fontId="34" fillId="0" borderId="4" xfId="0" applyNumberFormat="1" applyFont="1" applyBorder="1" applyAlignment="1">
      <alignment horizontal="center"/>
    </xf>
    <xf numFmtId="0" fontId="34" fillId="0" borderId="4" xfId="0" applyFont="1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/>
    </xf>
    <xf numFmtId="0" fontId="28" fillId="14" borderId="5" xfId="0" applyFont="1" applyFill="1" applyBorder="1" applyAlignment="1">
      <alignment horizontal="center"/>
    </xf>
    <xf numFmtId="0" fontId="40" fillId="2" borderId="6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  <xf numFmtId="0" fontId="11" fillId="20" borderId="2" xfId="0" applyFont="1" applyFill="1" applyBorder="1" applyAlignment="1">
      <alignment horizontal="center"/>
    </xf>
    <xf numFmtId="1" fontId="25" fillId="0" borderId="2" xfId="0" applyNumberFormat="1" applyFont="1" applyBorder="1" applyAlignment="1">
      <alignment horizontal="center"/>
    </xf>
    <xf numFmtId="0" fontId="29" fillId="21" borderId="2" xfId="0" applyFont="1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29" fillId="19" borderId="2" xfId="0" applyFont="1" applyFill="1" applyBorder="1" applyAlignment="1">
      <alignment horizontal="center"/>
    </xf>
    <xf numFmtId="0" fontId="29" fillId="22" borderId="2" xfId="0" applyFont="1" applyFill="1" applyBorder="1" applyAlignment="1">
      <alignment horizontal="center"/>
    </xf>
    <xf numFmtId="0" fontId="6" fillId="21" borderId="2" xfId="0" applyFont="1" applyFill="1" applyBorder="1" applyAlignment="1">
      <alignment horizontal="center" vertical="top" wrapText="1"/>
    </xf>
    <xf numFmtId="0" fontId="5" fillId="16" borderId="6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18" fillId="17" borderId="3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left" vertical="center" wrapText="1"/>
    </xf>
    <xf numFmtId="0" fontId="5" fillId="16" borderId="12" xfId="0" applyFont="1" applyFill="1" applyBorder="1" applyAlignment="1">
      <alignment horizontal="center" vertical="center" textRotation="90" wrapText="1"/>
    </xf>
    <xf numFmtId="0" fontId="18" fillId="17" borderId="5" xfId="0" applyFont="1" applyFill="1" applyBorder="1" applyAlignment="1">
      <alignment horizontal="center" vertical="center" wrapText="1"/>
    </xf>
    <xf numFmtId="0" fontId="19" fillId="17" borderId="5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0" fontId="19" fillId="17" borderId="14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vertical="center" wrapText="1"/>
    </xf>
    <xf numFmtId="0" fontId="43" fillId="5" borderId="2" xfId="0" applyFont="1" applyFill="1" applyBorder="1" applyAlignment="1">
      <alignment vertical="center" wrapText="1"/>
    </xf>
    <xf numFmtId="0" fontId="43" fillId="0" borderId="2" xfId="0" applyFont="1" applyBorder="1" applyAlignment="1">
      <alignment wrapText="1"/>
    </xf>
    <xf numFmtId="0" fontId="44" fillId="0" borderId="0" xfId="0" applyFont="1" applyAlignment="1">
      <alignment horizontal="left" vertical="top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5" fillId="16" borderId="2" xfId="0" applyFont="1" applyFill="1" applyBorder="1"/>
    <xf numFmtId="0" fontId="48" fillId="23" borderId="0" xfId="0" applyFont="1" applyFill="1" applyAlignment="1">
      <alignment vertical="center"/>
    </xf>
    <xf numFmtId="0" fontId="48" fillId="23" borderId="0" xfId="0" applyFont="1" applyFill="1" applyAlignment="1">
      <alignment horizontal="center" vertical="center"/>
    </xf>
    <xf numFmtId="0" fontId="48" fillId="23" borderId="0" xfId="0" applyFont="1" applyFill="1" applyAlignment="1">
      <alignment horizontal="left" vertical="center"/>
    </xf>
    <xf numFmtId="0" fontId="6" fillId="21" borderId="11" xfId="0" applyFont="1" applyFill="1" applyBorder="1" applyAlignment="1">
      <alignment horizontal="center" vertical="top" wrapText="1"/>
    </xf>
    <xf numFmtId="0" fontId="29" fillId="16" borderId="3" xfId="0" applyFont="1" applyFill="1" applyBorder="1"/>
    <xf numFmtId="0" fontId="6" fillId="0" borderId="6" xfId="0" applyFont="1" applyBorder="1" applyAlignment="1">
      <alignment horizontal="center" vertical="top" wrapText="1"/>
    </xf>
    <xf numFmtId="0" fontId="49" fillId="5" borderId="2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center" vertical="top" wrapText="1"/>
    </xf>
    <xf numFmtId="0" fontId="49" fillId="5" borderId="2" xfId="0" applyFont="1" applyFill="1" applyBorder="1" applyAlignment="1">
      <alignment horizontal="center" vertical="top"/>
    </xf>
    <xf numFmtId="0" fontId="8" fillId="5" borderId="2" xfId="0" applyFont="1" applyFill="1" applyBorder="1" applyAlignment="1">
      <alignment horizontal="center" vertical="top" wrapText="1"/>
    </xf>
    <xf numFmtId="0" fontId="6" fillId="21" borderId="8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top" wrapText="1"/>
    </xf>
    <xf numFmtId="0" fontId="6" fillId="16" borderId="2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top"/>
    </xf>
    <xf numFmtId="0" fontId="30" fillId="0" borderId="5" xfId="0" applyFont="1" applyBorder="1" applyAlignment="1">
      <alignment horizontal="center" vertical="top" wrapText="1"/>
    </xf>
    <xf numFmtId="0" fontId="10" fillId="5" borderId="2" xfId="0" applyFont="1" applyFill="1" applyBorder="1" applyAlignment="1">
      <alignment horizontal="left" vertical="top" wrapText="1"/>
    </xf>
    <xf numFmtId="164" fontId="11" fillId="0" borderId="1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5" fillId="15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25" fillId="15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8" fillId="17" borderId="2" xfId="0" applyFont="1" applyFill="1" applyBorder="1" applyAlignment="1">
      <alignment horizontal="center" vertical="center" wrapText="1"/>
    </xf>
    <xf numFmtId="0" fontId="29" fillId="16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 vertical="center" wrapText="1"/>
    </xf>
    <xf numFmtId="0" fontId="21" fillId="17" borderId="2" xfId="0" applyFont="1" applyFill="1" applyBorder="1" applyAlignment="1">
      <alignment horizontal="center" vertical="center" wrapText="1"/>
    </xf>
    <xf numFmtId="0" fontId="50" fillId="17" borderId="2" xfId="0" applyFont="1" applyFill="1" applyBorder="1" applyAlignment="1">
      <alignment horizontal="center" vertical="center" wrapText="1"/>
    </xf>
    <xf numFmtId="0" fontId="0" fillId="16" borderId="3" xfId="0" applyFill="1" applyBorder="1"/>
    <xf numFmtId="0" fontId="0" fillId="16" borderId="2" xfId="0" applyFill="1" applyBorder="1" applyAlignment="1">
      <alignment horizontal="left"/>
    </xf>
    <xf numFmtId="0" fontId="29" fillId="16" borderId="2" xfId="0" applyFont="1" applyFill="1" applyBorder="1"/>
    <xf numFmtId="0" fontId="0" fillId="16" borderId="2" xfId="0" applyFill="1" applyBorder="1" applyAlignment="1">
      <alignment vertical="center"/>
    </xf>
    <xf numFmtId="0" fontId="6" fillId="16" borderId="2" xfId="0" applyFont="1" applyFill="1" applyBorder="1" applyAlignment="1">
      <alignment horizontal="left" vertical="top" wrapText="1"/>
    </xf>
    <xf numFmtId="0" fontId="6" fillId="16" borderId="2" xfId="0" applyFont="1" applyFill="1" applyBorder="1" applyAlignment="1">
      <alignment horizontal="center" vertical="top" wrapText="1"/>
    </xf>
    <xf numFmtId="0" fontId="0" fillId="16" borderId="2" xfId="0" applyFill="1" applyBorder="1" applyAlignment="1">
      <alignment horizontal="center"/>
    </xf>
    <xf numFmtId="0" fontId="6" fillId="16" borderId="2" xfId="0" applyFont="1" applyFill="1" applyBorder="1" applyAlignment="1">
      <alignment horizontal="center" wrapText="1"/>
    </xf>
    <xf numFmtId="0" fontId="10" fillId="16" borderId="2" xfId="0" applyFont="1" applyFill="1" applyBorder="1" applyAlignment="1">
      <alignment horizontal="center" vertical="top" wrapText="1"/>
    </xf>
    <xf numFmtId="0" fontId="19" fillId="16" borderId="2" xfId="0" applyFont="1" applyFill="1" applyBorder="1" applyAlignment="1">
      <alignment horizontal="center" vertical="top" wrapText="1"/>
    </xf>
    <xf numFmtId="0" fontId="29" fillId="16" borderId="2" xfId="0" applyFont="1" applyFill="1" applyBorder="1" applyAlignment="1">
      <alignment horizontal="left"/>
    </xf>
    <xf numFmtId="0" fontId="29" fillId="16" borderId="2" xfId="0" applyFont="1" applyFill="1" applyBorder="1" applyAlignment="1">
      <alignment wrapText="1"/>
    </xf>
    <xf numFmtId="0" fontId="29" fillId="16" borderId="2" xfId="0" applyFont="1" applyFill="1" applyBorder="1" applyAlignment="1">
      <alignment vertical="center"/>
    </xf>
    <xf numFmtId="0" fontId="49" fillId="0" borderId="2" xfId="0" applyFont="1" applyBorder="1" applyAlignment="1">
      <alignment horizontal="center" vertical="top" wrapText="1"/>
    </xf>
    <xf numFmtId="0" fontId="49" fillId="16" borderId="2" xfId="0" applyFont="1" applyFill="1" applyBorder="1" applyAlignment="1">
      <alignment horizontal="left" vertical="top" wrapText="1"/>
    </xf>
    <xf numFmtId="0" fontId="49" fillId="16" borderId="2" xfId="0" applyFont="1" applyFill="1" applyBorder="1" applyAlignment="1">
      <alignment horizontal="center" vertical="top" wrapText="1"/>
    </xf>
    <xf numFmtId="0" fontId="21" fillId="16" borderId="2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5" borderId="2" xfId="0" applyFont="1" applyFill="1" applyBorder="1" applyAlignment="1">
      <alignment horizontal="center" vertical="top" wrapText="1"/>
    </xf>
    <xf numFmtId="0" fontId="0" fillId="16" borderId="2" xfId="0" applyFill="1" applyBorder="1" applyAlignment="1">
      <alignment horizontal="left" vertical="top" wrapText="1"/>
    </xf>
    <xf numFmtId="0" fontId="0" fillId="16" borderId="2" xfId="0" applyFill="1" applyBorder="1" applyAlignment="1">
      <alignment horizontal="center" vertical="top" wrapText="1"/>
    </xf>
    <xf numFmtId="0" fontId="29" fillId="16" borderId="2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" fillId="13" borderId="0" xfId="0" applyFont="1" applyFill="1" applyAlignment="1">
      <alignment horizontal="left" vertical="center"/>
    </xf>
    <xf numFmtId="0" fontId="4" fillId="13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horizontal="center" vertical="center"/>
    </xf>
    <xf numFmtId="0" fontId="4" fillId="25" borderId="0" xfId="0" applyFont="1" applyFill="1" applyAlignment="1">
      <alignment horizontal="left" vertical="center"/>
    </xf>
    <xf numFmtId="0" fontId="4" fillId="25" borderId="0" xfId="0" applyFont="1" applyFill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4" fillId="0" borderId="0" xfId="0" applyFont="1" applyAlignment="1">
      <alignment horizontal="left" vertical="top"/>
    </xf>
    <xf numFmtId="0" fontId="55" fillId="0" borderId="0" xfId="0" applyFont="1" applyAlignment="1">
      <alignment horizontal="left" vertical="top"/>
    </xf>
    <xf numFmtId="0" fontId="15" fillId="26" borderId="0" xfId="0" applyFont="1" applyFill="1" applyAlignment="1">
      <alignment vertical="center"/>
    </xf>
    <xf numFmtId="0" fontId="16" fillId="26" borderId="0" xfId="0" applyFont="1" applyFill="1" applyAlignment="1">
      <alignment vertical="center"/>
    </xf>
    <xf numFmtId="0" fontId="0" fillId="26" borderId="0" xfId="0" applyFill="1" applyAlignment="1">
      <alignment horizontal="center" vertical="center"/>
    </xf>
    <xf numFmtId="0" fontId="4" fillId="18" borderId="0" xfId="0" applyFont="1" applyFill="1" applyAlignment="1">
      <alignment horizontal="left" vertical="center"/>
    </xf>
    <xf numFmtId="0" fontId="4" fillId="18" borderId="0" xfId="0" applyFont="1" applyFill="1" applyAlignment="1">
      <alignment horizontal="center" vertical="center"/>
    </xf>
    <xf numFmtId="0" fontId="4" fillId="27" borderId="0" xfId="0" applyFont="1" applyFill="1" applyAlignment="1">
      <alignment horizontal="left" vertical="center"/>
    </xf>
    <xf numFmtId="0" fontId="4" fillId="27" borderId="0" xfId="0" applyFont="1" applyFill="1" applyAlignment="1">
      <alignment horizontal="center" vertical="center"/>
    </xf>
    <xf numFmtId="0" fontId="15" fillId="18" borderId="0" xfId="0" applyFont="1" applyFill="1" applyAlignment="1">
      <alignment vertical="center"/>
    </xf>
    <xf numFmtId="0" fontId="16" fillId="18" borderId="0" xfId="0" applyFont="1" applyFill="1" applyAlignment="1">
      <alignment vertical="center"/>
    </xf>
    <xf numFmtId="0" fontId="0" fillId="18" borderId="0" xfId="0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0" fillId="18" borderId="0" xfId="0" applyFill="1" applyAlignment="1">
      <alignment horizontal="left" vertical="center"/>
    </xf>
    <xf numFmtId="0" fontId="6" fillId="0" borderId="5" xfId="0" applyFont="1" applyBorder="1" applyAlignment="1">
      <alignment horizontal="center" vertical="top" wrapText="1"/>
    </xf>
    <xf numFmtId="0" fontId="49" fillId="0" borderId="5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4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9" fillId="5" borderId="2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/>
    </xf>
    <xf numFmtId="0" fontId="30" fillId="16" borderId="2" xfId="0" applyFont="1" applyFill="1" applyBorder="1"/>
    <xf numFmtId="0" fontId="29" fillId="0" borderId="2" xfId="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0" fillId="0" borderId="4" xfId="0" applyBorder="1"/>
    <xf numFmtId="0" fontId="11" fillId="28" borderId="2" xfId="0" applyFont="1" applyFill="1" applyBorder="1" applyAlignment="1">
      <alignment horizontal="center"/>
    </xf>
    <xf numFmtId="0" fontId="11" fillId="28" borderId="5" xfId="0" applyFont="1" applyFill="1" applyBorder="1" applyAlignment="1">
      <alignment horizontal="center"/>
    </xf>
    <xf numFmtId="0" fontId="11" fillId="10" borderId="5" xfId="0" applyFont="1" applyFill="1" applyBorder="1" applyAlignment="1">
      <alignment horizontal="center" wrapText="1"/>
    </xf>
    <xf numFmtId="0" fontId="28" fillId="6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left" wrapText="1"/>
    </xf>
    <xf numFmtId="164" fontId="28" fillId="9" borderId="2" xfId="0" applyNumberFormat="1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56" fillId="5" borderId="2" xfId="0" applyFont="1" applyFill="1" applyBorder="1" applyAlignment="1">
      <alignment horizontal="center"/>
    </xf>
    <xf numFmtId="0" fontId="57" fillId="5" borderId="2" xfId="0" applyFont="1" applyFill="1" applyBorder="1" applyAlignment="1">
      <alignment horizontal="center"/>
    </xf>
    <xf numFmtId="0" fontId="57" fillId="9" borderId="2" xfId="0" applyFont="1" applyFill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16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16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29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vertical="center"/>
    </xf>
    <xf numFmtId="0" fontId="19" fillId="7" borderId="5" xfId="0" applyFont="1" applyFill="1" applyBorder="1" applyAlignment="1">
      <alignment horizontal="center" vertical="center" wrapText="1"/>
    </xf>
    <xf numFmtId="0" fontId="45" fillId="5" borderId="2" xfId="0" applyFont="1" applyFill="1" applyBorder="1"/>
    <xf numFmtId="0" fontId="10" fillId="5" borderId="3" xfId="0" applyFont="1" applyFill="1" applyBorder="1" applyAlignment="1">
      <alignment horizontal="center" vertical="top" wrapText="1"/>
    </xf>
    <xf numFmtId="0" fontId="0" fillId="5" borderId="3" xfId="0" applyFill="1" applyBorder="1"/>
    <xf numFmtId="0" fontId="29" fillId="5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top" wrapText="1"/>
    </xf>
    <xf numFmtId="0" fontId="58" fillId="0" borderId="2" xfId="0" applyFont="1" applyBorder="1" applyAlignment="1">
      <alignment horizontal="center"/>
    </xf>
    <xf numFmtId="0" fontId="19" fillId="7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9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0" fillId="0" borderId="2" xfId="0" applyBorder="1"/>
    <xf numFmtId="0" fontId="49" fillId="0" borderId="5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/>
    <xf numFmtId="0" fontId="6" fillId="5" borderId="2" xfId="0" applyFont="1" applyFill="1" applyBorder="1" applyAlignment="1">
      <alignment horizontal="left" vertical="top" wrapText="1"/>
    </xf>
    <xf numFmtId="0" fontId="6" fillId="21" borderId="2" xfId="0" applyFont="1" applyFill="1" applyBorder="1" applyAlignment="1">
      <alignment horizontal="left" vertical="top" wrapText="1"/>
    </xf>
    <xf numFmtId="0" fontId="10" fillId="29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top" wrapText="1"/>
    </xf>
    <xf numFmtId="0" fontId="0" fillId="0" borderId="2" xfId="0" applyBorder="1"/>
    <xf numFmtId="0" fontId="6" fillId="5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29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9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9" fillId="5" borderId="3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29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5" borderId="5" xfId="0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/>
    </xf>
    <xf numFmtId="0" fontId="6" fillId="5" borderId="5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8" fillId="16" borderId="3" xfId="0" applyFont="1" applyFill="1" applyBorder="1" applyAlignment="1">
      <alignment horizontal="center" vertical="center" wrapText="1"/>
    </xf>
    <xf numFmtId="0" fontId="18" fillId="17" borderId="18" xfId="0" applyFont="1" applyFill="1" applyBorder="1" applyAlignment="1">
      <alignment horizontal="center" vertical="center"/>
    </xf>
    <xf numFmtId="0" fontId="45" fillId="16" borderId="24" xfId="0" applyFont="1" applyFill="1" applyBorder="1" applyAlignment="1">
      <alignment horizontal="center" vertical="center"/>
    </xf>
    <xf numFmtId="0" fontId="45" fillId="16" borderId="17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 wrapText="1"/>
    </xf>
    <xf numFmtId="0" fontId="33" fillId="16" borderId="9" xfId="0" applyFont="1" applyFill="1" applyBorder="1" applyAlignment="1">
      <alignment horizontal="center" vertical="center" wrapText="1"/>
    </xf>
    <xf numFmtId="0" fontId="33" fillId="16" borderId="10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8" fillId="4" borderId="18" xfId="0" applyFont="1" applyFill="1" applyBorder="1" applyAlignment="1">
      <alignment horizontal="center" vertical="center" wrapText="1" readingOrder="1"/>
    </xf>
    <xf numFmtId="0" fontId="18" fillId="4" borderId="17" xfId="0" applyFont="1" applyFill="1" applyBorder="1" applyAlignment="1">
      <alignment horizontal="center" vertical="center" wrapText="1" readingOrder="1"/>
    </xf>
    <xf numFmtId="0" fontId="18" fillId="4" borderId="6" xfId="0" applyFont="1" applyFill="1" applyBorder="1" applyAlignment="1">
      <alignment horizontal="center" vertical="center" wrapText="1" readingOrder="1"/>
    </xf>
    <xf numFmtId="0" fontId="18" fillId="4" borderId="8" xfId="0" applyFont="1" applyFill="1" applyBorder="1" applyAlignment="1">
      <alignment horizontal="center" vertical="center" wrapText="1" readingOrder="1"/>
    </xf>
    <xf numFmtId="0" fontId="5" fillId="16" borderId="5" xfId="0" applyFont="1" applyFill="1" applyBorder="1" applyAlignment="1">
      <alignment horizontal="left" vertical="center" wrapText="1"/>
    </xf>
    <xf numFmtId="0" fontId="38" fillId="16" borderId="3" xfId="0" applyFont="1" applyFill="1" applyBorder="1" applyAlignment="1">
      <alignment horizontal="left" vertical="center" wrapText="1"/>
    </xf>
    <xf numFmtId="0" fontId="39" fillId="16" borderId="5" xfId="0" applyFont="1" applyFill="1" applyBorder="1" applyAlignment="1">
      <alignment horizontal="left" vertical="center" wrapText="1"/>
    </xf>
    <xf numFmtId="0" fontId="42" fillId="17" borderId="18" xfId="0" applyFont="1" applyFill="1" applyBorder="1" applyAlignment="1">
      <alignment horizontal="center" vertical="center"/>
    </xf>
    <xf numFmtId="0" fontId="39" fillId="16" borderId="24" xfId="0" applyFont="1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45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9" fillId="16" borderId="5" xfId="0" applyFont="1" applyFill="1" applyBorder="1" applyAlignment="1">
      <alignment horizontal="center" vertical="center" wrapText="1"/>
    </xf>
    <xf numFmtId="0" fontId="33" fillId="16" borderId="3" xfId="0" applyFont="1" applyFill="1" applyBorder="1" applyAlignment="1">
      <alignment horizontal="center" vertical="center" wrapText="1"/>
    </xf>
    <xf numFmtId="0" fontId="33" fillId="16" borderId="5" xfId="0" applyFont="1" applyFill="1" applyBorder="1" applyAlignment="1">
      <alignment horizontal="center" vertical="center" wrapText="1"/>
    </xf>
    <xf numFmtId="0" fontId="45" fillId="16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16" borderId="14" xfId="0" applyFont="1" applyFill="1" applyBorder="1" applyAlignment="1">
      <alignment horizontal="left" vertical="center" wrapText="1"/>
    </xf>
    <xf numFmtId="0" fontId="45" fillId="0" borderId="1" xfId="0" applyFont="1" applyBorder="1"/>
    <xf numFmtId="0" fontId="45" fillId="0" borderId="10" xfId="0" applyFont="1" applyBorder="1"/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18" fillId="4" borderId="0" xfId="0" applyFont="1" applyFill="1" applyAlignment="1">
      <alignment horizontal="center" vertical="center" wrapText="1" readingOrder="1"/>
    </xf>
    <xf numFmtId="0" fontId="0" fillId="0" borderId="2" xfId="0" applyBorder="1"/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19" fillId="17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49" fillId="5" borderId="3" xfId="0" applyFont="1" applyFill="1" applyBorder="1" applyAlignment="1">
      <alignment horizontal="center" vertical="top" wrapText="1"/>
    </xf>
    <xf numFmtId="0" fontId="49" fillId="5" borderId="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/>
    <xf numFmtId="0" fontId="0" fillId="0" borderId="5" xfId="0" applyBorder="1" applyAlignment="1"/>
    <xf numFmtId="0" fontId="0" fillId="0" borderId="14" xfId="0" applyBorder="1"/>
    <xf numFmtId="0" fontId="0" fillId="0" borderId="2" xfId="0" applyBorder="1" applyAlignment="1">
      <alignment horizontal="center" wrapText="1"/>
    </xf>
    <xf numFmtId="0" fontId="4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5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164" fontId="11" fillId="0" borderId="14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right" vertical="center"/>
    </xf>
    <xf numFmtId="0" fontId="25" fillId="15" borderId="5" xfId="0" applyFont="1" applyFill="1" applyBorder="1" applyAlignment="1">
      <alignment horizontal="right" vertical="center"/>
    </xf>
    <xf numFmtId="0" fontId="25" fillId="15" borderId="9" xfId="0" applyFont="1" applyFill="1" applyBorder="1" applyAlignment="1">
      <alignment horizontal="center"/>
    </xf>
    <xf numFmtId="0" fontId="25" fillId="15" borderId="10" xfId="0" applyFont="1" applyFill="1" applyBorder="1" applyAlignment="1">
      <alignment horizontal="center"/>
    </xf>
    <xf numFmtId="164" fontId="26" fillId="0" borderId="3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34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5" fillId="15" borderId="2" xfId="0" applyFont="1" applyFill="1" applyBorder="1" applyAlignment="1">
      <alignment horizontal="right" vertical="center"/>
    </xf>
    <xf numFmtId="0" fontId="25" fillId="15" borderId="2" xfId="0" applyFont="1" applyFill="1" applyBorder="1" applyAlignment="1">
      <alignment horizontal="center"/>
    </xf>
    <xf numFmtId="164" fontId="26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7" fillId="5" borderId="3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11" fillId="5" borderId="14" xfId="0" applyFont="1" applyFill="1" applyBorder="1" applyAlignment="1">
      <alignment vertical="center"/>
    </xf>
    <xf numFmtId="0" fontId="27" fillId="5" borderId="1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27" fillId="5" borderId="3" xfId="0" applyFont="1" applyFill="1" applyBorder="1" applyAlignment="1">
      <alignment vertical="center" wrapText="1"/>
    </xf>
    <xf numFmtId="0" fontId="37" fillId="5" borderId="5" xfId="0" applyFont="1" applyFill="1" applyBorder="1" applyAlignment="1">
      <alignment vertical="center" wrapText="1"/>
    </xf>
    <xf numFmtId="0" fontId="27" fillId="5" borderId="5" xfId="0" applyFont="1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21" borderId="3" xfId="0" applyFont="1" applyFill="1" applyBorder="1" applyAlignment="1">
      <alignment vertical="center"/>
    </xf>
    <xf numFmtId="0" fontId="11" fillId="21" borderId="5" xfId="0" applyFont="1" applyFill="1" applyBorder="1" applyAlignment="1">
      <alignment vertical="center"/>
    </xf>
    <xf numFmtId="1" fontId="11" fillId="5" borderId="3" xfId="0" applyNumberFormat="1" applyFont="1" applyFill="1" applyBorder="1" applyAlignment="1">
      <alignment horizontal="center" vertical="center"/>
    </xf>
    <xf numFmtId="1" fontId="11" fillId="5" borderId="5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21" borderId="3" xfId="0" applyFill="1" applyBorder="1" applyAlignment="1">
      <alignment vertical="center"/>
    </xf>
    <xf numFmtId="0" fontId="0" fillId="21" borderId="5" xfId="0" applyFill="1" applyBorder="1" applyAlignment="1">
      <alignment vertical="center"/>
    </xf>
    <xf numFmtId="0" fontId="36" fillId="5" borderId="3" xfId="0" applyFont="1" applyFill="1" applyBorder="1" applyAlignment="1">
      <alignment vertical="center"/>
    </xf>
    <xf numFmtId="0" fontId="36" fillId="5" borderId="5" xfId="0" applyFont="1" applyFill="1" applyBorder="1" applyAlignment="1">
      <alignment vertical="center"/>
    </xf>
    <xf numFmtId="0" fontId="2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66"/>
      <color rgb="FF99CCFF"/>
      <color rgb="FFFFFF99"/>
      <color rgb="FF92CDD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067"/>
  <sheetViews>
    <sheetView tabSelected="1" showWhiteSpace="0" topLeftCell="A560" workbookViewId="0">
      <selection activeCell="M580" sqref="M580:M581"/>
    </sheetView>
  </sheetViews>
  <sheetFormatPr defaultRowHeight="15" x14ac:dyDescent="0.25"/>
  <cols>
    <col min="1" max="1" width="5" customWidth="1"/>
    <col min="2" max="2" width="37.5703125" style="31" customWidth="1"/>
    <col min="3" max="3" width="8.42578125" style="31" customWidth="1"/>
    <col min="4" max="4" width="6.7109375" customWidth="1"/>
    <col min="5" max="5" width="5.5703125" customWidth="1"/>
    <col min="6" max="6" width="5.42578125" customWidth="1"/>
    <col min="7" max="9" width="2.5703125" customWidth="1"/>
    <col min="10" max="10" width="21.5703125" customWidth="1"/>
    <col min="11" max="11" width="11.28515625" style="31" customWidth="1"/>
    <col min="12" max="12" width="7.42578125" style="32" customWidth="1"/>
    <col min="13" max="13" width="16.140625" customWidth="1"/>
    <col min="14" max="14" width="9.28515625" customWidth="1"/>
    <col min="15" max="17" width="2.85546875" customWidth="1"/>
    <col min="18" max="18" width="8.42578125" bestFit="1" customWidth="1"/>
    <col min="19" max="19" width="2.85546875" customWidth="1"/>
    <col min="20" max="22" width="9.140625" customWidth="1"/>
  </cols>
  <sheetData>
    <row r="2" spans="1:19" x14ac:dyDescent="0.25">
      <c r="A2" t="s">
        <v>399</v>
      </c>
    </row>
    <row r="3" spans="1:19" x14ac:dyDescent="0.25">
      <c r="A3" t="s">
        <v>400</v>
      </c>
      <c r="B3"/>
      <c r="C3"/>
      <c r="L3"/>
    </row>
    <row r="4" spans="1:19" ht="21" x14ac:dyDescent="0.25">
      <c r="A4" s="2"/>
      <c r="B4" s="49" t="s">
        <v>179</v>
      </c>
      <c r="C4" s="229"/>
      <c r="D4" s="230"/>
      <c r="E4" s="230"/>
      <c r="F4" s="230"/>
      <c r="G4" s="230"/>
      <c r="H4" s="230"/>
      <c r="I4" s="230"/>
      <c r="J4" s="231"/>
      <c r="K4" s="231"/>
      <c r="L4" s="230"/>
      <c r="M4" s="231"/>
    </row>
    <row r="5" spans="1:19" ht="21" x14ac:dyDescent="0.35">
      <c r="A5" s="2"/>
      <c r="B5" s="49" t="s">
        <v>420</v>
      </c>
      <c r="C5" s="49"/>
      <c r="D5" s="2"/>
      <c r="E5" s="2"/>
      <c r="F5" s="2"/>
      <c r="G5" s="50"/>
      <c r="H5" s="2"/>
      <c r="I5" s="2"/>
      <c r="J5" s="5"/>
      <c r="K5" s="231"/>
      <c r="L5" s="230"/>
      <c r="M5" s="231"/>
      <c r="N5" s="57"/>
      <c r="O5" s="57"/>
      <c r="P5" s="57"/>
      <c r="R5" s="57"/>
    </row>
    <row r="6" spans="1:19" ht="21" x14ac:dyDescent="0.35">
      <c r="A6" s="6"/>
      <c r="B6" s="49" t="s">
        <v>577</v>
      </c>
      <c r="C6" s="49"/>
      <c r="D6" s="2"/>
      <c r="E6" s="2"/>
      <c r="F6" s="2"/>
      <c r="G6" s="50"/>
      <c r="H6" s="2"/>
      <c r="I6" s="2"/>
      <c r="J6" s="5"/>
      <c r="K6" s="7"/>
      <c r="L6" s="7"/>
      <c r="M6" s="7"/>
      <c r="N6" s="57"/>
      <c r="O6" s="57"/>
      <c r="P6" s="57"/>
      <c r="R6" s="57"/>
    </row>
    <row r="7" spans="1:19" ht="21" x14ac:dyDescent="0.35">
      <c r="A7" s="6"/>
      <c r="B7" s="49"/>
      <c r="C7" s="49"/>
      <c r="D7" s="2"/>
      <c r="E7" s="2"/>
      <c r="F7" s="2"/>
      <c r="G7" s="50"/>
      <c r="H7" s="2"/>
      <c r="I7" s="2"/>
      <c r="J7" s="5"/>
      <c r="K7" s="7"/>
      <c r="L7" s="7"/>
      <c r="M7" s="7"/>
      <c r="N7" s="57"/>
      <c r="O7" s="57"/>
      <c r="P7" s="57"/>
      <c r="R7" s="57"/>
    </row>
    <row r="8" spans="1:19" ht="18" customHeight="1" x14ac:dyDescent="0.25">
      <c r="A8" s="6"/>
      <c r="B8" s="304" t="s">
        <v>329</v>
      </c>
      <c r="C8" s="304"/>
      <c r="D8" s="305"/>
      <c r="E8" s="305"/>
      <c r="F8" s="305"/>
      <c r="G8" s="305"/>
      <c r="H8" s="304"/>
      <c r="I8" s="304"/>
      <c r="J8" s="304"/>
      <c r="K8" s="7"/>
      <c r="L8" s="6"/>
      <c r="M8" s="7"/>
    </row>
    <row r="9" spans="1:19" ht="18" customHeight="1" x14ac:dyDescent="0.25">
      <c r="A9" s="2"/>
      <c r="B9" s="5"/>
      <c r="C9" s="5"/>
      <c r="D9" s="2"/>
      <c r="E9" s="2"/>
      <c r="F9" s="2"/>
      <c r="G9" s="2"/>
      <c r="H9" s="2"/>
      <c r="I9" s="2"/>
      <c r="J9" s="5"/>
      <c r="K9" s="5"/>
      <c r="L9" s="2"/>
      <c r="M9" s="5"/>
    </row>
    <row r="10" spans="1:19" ht="18" customHeight="1" x14ac:dyDescent="0.25">
      <c r="A10" s="2"/>
      <c r="B10" s="228" t="s">
        <v>0</v>
      </c>
      <c r="C10" s="5"/>
      <c r="D10" s="7"/>
      <c r="E10" s="7"/>
      <c r="F10" s="6"/>
      <c r="G10" s="2"/>
      <c r="H10" s="2"/>
      <c r="I10" s="2"/>
      <c r="J10" s="5"/>
      <c r="K10" s="5"/>
      <c r="L10" s="2"/>
      <c r="M10" s="5"/>
    </row>
    <row r="11" spans="1:19" ht="18" customHeight="1" x14ac:dyDescent="0.25">
      <c r="A11" s="2"/>
      <c r="B11" s="5"/>
      <c r="C11" s="5"/>
      <c r="D11" s="2"/>
      <c r="E11" s="2"/>
      <c r="F11" s="2"/>
      <c r="G11" s="2"/>
      <c r="H11" s="2"/>
      <c r="I11" s="2"/>
      <c r="J11" s="5"/>
      <c r="K11" s="5"/>
      <c r="L11" s="2"/>
      <c r="M11" s="5"/>
    </row>
    <row r="12" spans="1:19" ht="26.25" customHeight="1" thickBot="1" x14ac:dyDescent="0.3">
      <c r="A12" s="506" t="s">
        <v>421</v>
      </c>
      <c r="B12" s="504" t="s">
        <v>2</v>
      </c>
      <c r="C12" s="493" t="s">
        <v>182</v>
      </c>
      <c r="D12" s="483" t="s">
        <v>418</v>
      </c>
      <c r="E12" s="483" t="s">
        <v>417</v>
      </c>
      <c r="F12" s="483" t="s">
        <v>416</v>
      </c>
      <c r="G12" s="500" t="s">
        <v>415</v>
      </c>
      <c r="H12" s="512"/>
      <c r="I12" s="513"/>
      <c r="J12" s="486" t="s">
        <v>8</v>
      </c>
      <c r="K12" s="216" t="s">
        <v>9</v>
      </c>
      <c r="L12" s="483" t="s">
        <v>10</v>
      </c>
      <c r="M12" s="486" t="s">
        <v>422</v>
      </c>
      <c r="N12" s="217" t="s">
        <v>12</v>
      </c>
      <c r="O12" s="480" t="s">
        <v>413</v>
      </c>
      <c r="P12" s="481"/>
      <c r="Q12" s="482"/>
      <c r="R12" s="484" t="s">
        <v>414</v>
      </c>
      <c r="S12" s="485"/>
    </row>
    <row r="13" spans="1:19" ht="26.25" customHeight="1" x14ac:dyDescent="0.25">
      <c r="A13" s="507"/>
      <c r="B13" s="499"/>
      <c r="C13" s="494"/>
      <c r="D13" s="508"/>
      <c r="E13" s="503"/>
      <c r="F13" s="503"/>
      <c r="G13" s="218" t="s">
        <v>17</v>
      </c>
      <c r="H13" s="218" t="s">
        <v>18</v>
      </c>
      <c r="I13" s="218" t="s">
        <v>19</v>
      </c>
      <c r="J13" s="492"/>
      <c r="K13" s="219"/>
      <c r="L13" s="448"/>
      <c r="M13" s="487"/>
      <c r="N13" s="221" t="s">
        <v>21</v>
      </c>
      <c r="O13" s="218" t="s">
        <v>17</v>
      </c>
      <c r="P13" s="218" t="s">
        <v>18</v>
      </c>
      <c r="Q13" s="218" t="s">
        <v>19</v>
      </c>
      <c r="R13" s="218" t="s">
        <v>17</v>
      </c>
      <c r="S13" s="218" t="s">
        <v>18</v>
      </c>
    </row>
    <row r="14" spans="1:19" s="61" customFormat="1" x14ac:dyDescent="0.25">
      <c r="A14" s="434">
        <v>1</v>
      </c>
      <c r="B14" s="48" t="s">
        <v>67</v>
      </c>
      <c r="C14" s="48" t="s">
        <v>68</v>
      </c>
      <c r="D14" s="47" t="s">
        <v>24</v>
      </c>
      <c r="E14" s="47" t="s">
        <v>25</v>
      </c>
      <c r="F14" s="47" t="s">
        <v>17</v>
      </c>
      <c r="G14" s="47">
        <v>3</v>
      </c>
      <c r="H14" s="47"/>
      <c r="I14" s="47"/>
      <c r="J14" s="363" t="s">
        <v>481</v>
      </c>
      <c r="K14" s="363" t="s">
        <v>28</v>
      </c>
      <c r="L14" s="331" t="s">
        <v>37</v>
      </c>
      <c r="M14" s="363" t="s">
        <v>514</v>
      </c>
      <c r="N14" s="362"/>
      <c r="O14" s="72">
        <v>1</v>
      </c>
      <c r="P14" s="362"/>
      <c r="R14" s="223">
        <f t="shared" ref="R14:S84" si="0">G14*O14</f>
        <v>3</v>
      </c>
      <c r="S14" s="155"/>
    </row>
    <row r="15" spans="1:19" s="61" customFormat="1" ht="15.75" customHeight="1" x14ac:dyDescent="0.25">
      <c r="A15" s="435"/>
      <c r="B15" s="48" t="s">
        <v>67</v>
      </c>
      <c r="C15" s="48" t="s">
        <v>68</v>
      </c>
      <c r="D15" s="47" t="s">
        <v>24</v>
      </c>
      <c r="E15" s="47" t="s">
        <v>25</v>
      </c>
      <c r="F15" s="47" t="s">
        <v>18</v>
      </c>
      <c r="G15" s="47"/>
      <c r="H15" s="47">
        <v>2</v>
      </c>
      <c r="I15" s="47"/>
      <c r="J15" s="48" t="s">
        <v>458</v>
      </c>
      <c r="K15" s="48" t="s">
        <v>82</v>
      </c>
      <c r="L15" s="47" t="s">
        <v>17</v>
      </c>
      <c r="M15" s="48" t="s">
        <v>26</v>
      </c>
      <c r="N15" s="362"/>
      <c r="O15" s="362"/>
      <c r="P15" s="362">
        <v>1</v>
      </c>
      <c r="R15" s="223"/>
      <c r="S15" s="155">
        <f t="shared" si="0"/>
        <v>2</v>
      </c>
    </row>
    <row r="16" spans="1:19" s="61" customFormat="1" ht="25.5" x14ac:dyDescent="0.25">
      <c r="A16" s="434">
        <v>2</v>
      </c>
      <c r="B16" s="48" t="s">
        <v>69</v>
      </c>
      <c r="C16" s="48" t="s">
        <v>68</v>
      </c>
      <c r="D16" s="47" t="s">
        <v>24</v>
      </c>
      <c r="E16" s="47" t="s">
        <v>25</v>
      </c>
      <c r="F16" s="47" t="s">
        <v>17</v>
      </c>
      <c r="G16" s="47">
        <v>3</v>
      </c>
      <c r="H16" s="47"/>
      <c r="I16" s="47"/>
      <c r="J16" s="150" t="s">
        <v>448</v>
      </c>
      <c r="K16" s="48" t="s">
        <v>82</v>
      </c>
      <c r="L16" s="56" t="s">
        <v>37</v>
      </c>
      <c r="M16" s="48" t="s">
        <v>423</v>
      </c>
      <c r="N16" s="362"/>
      <c r="O16" s="362">
        <v>1</v>
      </c>
      <c r="P16" s="362"/>
      <c r="R16" s="223">
        <f t="shared" si="0"/>
        <v>3</v>
      </c>
      <c r="S16" s="155"/>
    </row>
    <row r="17" spans="1:19" s="61" customFormat="1" ht="15.75" customHeight="1" x14ac:dyDescent="0.25">
      <c r="A17" s="435"/>
      <c r="B17" s="48" t="s">
        <v>69</v>
      </c>
      <c r="C17" s="48" t="s">
        <v>68</v>
      </c>
      <c r="D17" s="47" t="s">
        <v>24</v>
      </c>
      <c r="E17" s="47" t="s">
        <v>25</v>
      </c>
      <c r="F17" s="47" t="s">
        <v>18</v>
      </c>
      <c r="G17" s="47"/>
      <c r="H17" s="47">
        <v>3</v>
      </c>
      <c r="I17" s="47"/>
      <c r="J17" s="33" t="s">
        <v>551</v>
      </c>
      <c r="K17" s="48" t="s">
        <v>195</v>
      </c>
      <c r="L17" s="34" t="s">
        <v>17</v>
      </c>
      <c r="M17" s="48" t="s">
        <v>26</v>
      </c>
      <c r="N17" s="362"/>
      <c r="O17" s="362"/>
      <c r="P17" s="362">
        <v>1</v>
      </c>
      <c r="R17" s="223"/>
      <c r="S17" s="155">
        <f t="shared" si="0"/>
        <v>3</v>
      </c>
    </row>
    <row r="18" spans="1:19" s="404" customFormat="1" ht="15.75" customHeight="1" x14ac:dyDescent="0.25">
      <c r="A18" s="434">
        <v>3</v>
      </c>
      <c r="B18" s="402" t="s">
        <v>492</v>
      </c>
      <c r="C18" s="397" t="s">
        <v>68</v>
      </c>
      <c r="D18" s="391" t="s">
        <v>24</v>
      </c>
      <c r="E18" s="391" t="s">
        <v>25</v>
      </c>
      <c r="F18" s="391" t="s">
        <v>17</v>
      </c>
      <c r="G18" s="391">
        <v>3</v>
      </c>
      <c r="H18" s="391"/>
      <c r="I18" s="391"/>
      <c r="J18" s="251" t="s">
        <v>446</v>
      </c>
      <c r="K18" s="251" t="s">
        <v>82</v>
      </c>
      <c r="L18" s="331" t="s">
        <v>17</v>
      </c>
      <c r="M18" s="402" t="s">
        <v>26</v>
      </c>
      <c r="N18" s="396"/>
      <c r="O18" s="396">
        <v>1</v>
      </c>
      <c r="P18" s="396"/>
      <c r="R18" s="223">
        <f t="shared" ref="R18" si="1">G18*O18</f>
        <v>3</v>
      </c>
      <c r="S18" s="155"/>
    </row>
    <row r="19" spans="1:19" s="404" customFormat="1" ht="15.75" customHeight="1" x14ac:dyDescent="0.25">
      <c r="A19" s="435"/>
      <c r="B19" s="402" t="s">
        <v>492</v>
      </c>
      <c r="C19" s="397" t="s">
        <v>68</v>
      </c>
      <c r="D19" s="391" t="s">
        <v>24</v>
      </c>
      <c r="E19" s="391" t="s">
        <v>25</v>
      </c>
      <c r="F19" s="391" t="s">
        <v>18</v>
      </c>
      <c r="G19" s="391"/>
      <c r="H19" s="391">
        <v>2</v>
      </c>
      <c r="I19" s="391"/>
      <c r="J19" s="251" t="s">
        <v>446</v>
      </c>
      <c r="K19" s="251" t="s">
        <v>82</v>
      </c>
      <c r="L19" s="331" t="s">
        <v>17</v>
      </c>
      <c r="M19" s="402" t="s">
        <v>26</v>
      </c>
      <c r="N19" s="396"/>
      <c r="O19" s="396"/>
      <c r="P19" s="396">
        <v>1</v>
      </c>
      <c r="R19" s="223"/>
      <c r="S19" s="155">
        <f t="shared" ref="S19" si="2">H19*P19</f>
        <v>2</v>
      </c>
    </row>
    <row r="20" spans="1:19" s="61" customFormat="1" ht="25.5" x14ac:dyDescent="0.25">
      <c r="A20" s="355">
        <v>4</v>
      </c>
      <c r="B20" s="48" t="s">
        <v>93</v>
      </c>
      <c r="C20" s="48" t="s">
        <v>68</v>
      </c>
      <c r="D20" s="47" t="s">
        <v>24</v>
      </c>
      <c r="E20" s="47" t="s">
        <v>25</v>
      </c>
      <c r="F20" s="47" t="s">
        <v>17</v>
      </c>
      <c r="G20" s="47">
        <v>2</v>
      </c>
      <c r="H20" s="47"/>
      <c r="I20" s="47"/>
      <c r="J20" s="55" t="s">
        <v>562</v>
      </c>
      <c r="K20" s="55" t="s">
        <v>43</v>
      </c>
      <c r="L20" s="75" t="s">
        <v>41</v>
      </c>
      <c r="M20" s="251" t="s">
        <v>42</v>
      </c>
      <c r="N20" s="362"/>
      <c r="O20" s="362">
        <v>1</v>
      </c>
      <c r="P20" s="362"/>
      <c r="R20" s="223">
        <f t="shared" si="0"/>
        <v>2</v>
      </c>
      <c r="S20" s="155"/>
    </row>
    <row r="21" spans="1:19" s="61" customFormat="1" ht="15.75" customHeight="1" x14ac:dyDescent="0.25">
      <c r="A21" s="446">
        <v>5</v>
      </c>
      <c r="B21" s="48" t="s">
        <v>73</v>
      </c>
      <c r="C21" s="48" t="s">
        <v>68</v>
      </c>
      <c r="D21" s="47" t="s">
        <v>24</v>
      </c>
      <c r="E21" s="47" t="s">
        <v>25</v>
      </c>
      <c r="F21" s="47" t="s">
        <v>17</v>
      </c>
      <c r="G21" s="47">
        <v>2</v>
      </c>
      <c r="H21" s="47"/>
      <c r="I21" s="47"/>
      <c r="J21" s="133" t="s">
        <v>450</v>
      </c>
      <c r="K21" s="48" t="s">
        <v>564</v>
      </c>
      <c r="L21" s="47" t="s">
        <v>17</v>
      </c>
      <c r="M21" s="359" t="s">
        <v>26</v>
      </c>
      <c r="N21" s="362"/>
      <c r="O21" s="362">
        <v>1</v>
      </c>
      <c r="P21" s="362"/>
      <c r="R21" s="223">
        <f t="shared" si="0"/>
        <v>2</v>
      </c>
      <c r="S21" s="155"/>
    </row>
    <row r="22" spans="1:19" s="61" customFormat="1" ht="15.75" customHeight="1" x14ac:dyDescent="0.25">
      <c r="A22" s="448"/>
      <c r="B22" s="48" t="s">
        <v>73</v>
      </c>
      <c r="C22" s="48" t="s">
        <v>68</v>
      </c>
      <c r="D22" s="47" t="s">
        <v>24</v>
      </c>
      <c r="E22" s="47" t="s">
        <v>25</v>
      </c>
      <c r="F22" s="47" t="s">
        <v>18</v>
      </c>
      <c r="G22" s="47"/>
      <c r="H22" s="47">
        <v>2</v>
      </c>
      <c r="I22" s="47"/>
      <c r="J22" s="133" t="s">
        <v>450</v>
      </c>
      <c r="K22" s="48" t="s">
        <v>564</v>
      </c>
      <c r="L22" s="47" t="s">
        <v>17</v>
      </c>
      <c r="M22" s="359" t="s">
        <v>26</v>
      </c>
      <c r="N22" s="362"/>
      <c r="O22" s="362"/>
      <c r="P22" s="362">
        <v>1</v>
      </c>
      <c r="R22" s="223"/>
      <c r="S22" s="155">
        <f t="shared" si="0"/>
        <v>2</v>
      </c>
    </row>
    <row r="23" spans="1:19" s="61" customFormat="1" ht="15.75" customHeight="1" x14ac:dyDescent="0.25">
      <c r="A23" s="434">
        <v>6</v>
      </c>
      <c r="B23" s="48" t="s">
        <v>286</v>
      </c>
      <c r="C23" s="48" t="s">
        <v>68</v>
      </c>
      <c r="D23" s="47" t="s">
        <v>24</v>
      </c>
      <c r="E23" s="47" t="s">
        <v>25</v>
      </c>
      <c r="F23" s="47" t="s">
        <v>17</v>
      </c>
      <c r="G23" s="47">
        <v>1</v>
      </c>
      <c r="H23" s="38"/>
      <c r="I23" s="47"/>
      <c r="J23" s="48" t="s">
        <v>467</v>
      </c>
      <c r="K23" s="251" t="s">
        <v>28</v>
      </c>
      <c r="L23" s="331" t="s">
        <v>17</v>
      </c>
      <c r="M23" s="363" t="s">
        <v>26</v>
      </c>
      <c r="N23" s="362"/>
      <c r="O23" s="362">
        <v>1</v>
      </c>
      <c r="P23" s="362"/>
      <c r="R23" s="223">
        <f t="shared" ref="R23" si="3">G23*O23</f>
        <v>1</v>
      </c>
      <c r="S23" s="155"/>
    </row>
    <row r="24" spans="1:19" s="61" customFormat="1" ht="15.75" customHeight="1" x14ac:dyDescent="0.25">
      <c r="A24" s="435"/>
      <c r="B24" s="48" t="s">
        <v>286</v>
      </c>
      <c r="C24" s="48" t="s">
        <v>68</v>
      </c>
      <c r="D24" s="47" t="s">
        <v>24</v>
      </c>
      <c r="E24" s="47" t="s">
        <v>25</v>
      </c>
      <c r="F24" s="47" t="s">
        <v>18</v>
      </c>
      <c r="G24" s="47"/>
      <c r="H24" s="47">
        <v>2</v>
      </c>
      <c r="I24" s="47"/>
      <c r="J24" s="48" t="s">
        <v>467</v>
      </c>
      <c r="K24" s="251" t="s">
        <v>28</v>
      </c>
      <c r="L24" s="331" t="s">
        <v>17</v>
      </c>
      <c r="M24" s="363" t="s">
        <v>26</v>
      </c>
      <c r="N24" s="362"/>
      <c r="O24" s="362"/>
      <c r="P24" s="362">
        <v>1</v>
      </c>
      <c r="R24" s="223"/>
      <c r="S24" s="155">
        <f t="shared" ref="S24" si="4">H24*P24</f>
        <v>2</v>
      </c>
    </row>
    <row r="25" spans="1:19" s="61" customFormat="1" ht="15.75" customHeight="1" x14ac:dyDescent="0.25">
      <c r="A25" s="435"/>
      <c r="B25" s="48" t="s">
        <v>482</v>
      </c>
      <c r="C25" s="48" t="s">
        <v>68</v>
      </c>
      <c r="D25" s="47" t="s">
        <v>24</v>
      </c>
      <c r="E25" s="47" t="s">
        <v>25</v>
      </c>
      <c r="F25" s="47" t="s">
        <v>17</v>
      </c>
      <c r="G25" s="47">
        <v>1</v>
      </c>
      <c r="H25" s="38"/>
      <c r="I25" s="47"/>
      <c r="J25" s="48"/>
      <c r="K25" s="363"/>
      <c r="L25" s="331"/>
      <c r="M25" s="363"/>
      <c r="N25" s="362"/>
      <c r="O25" s="362">
        <v>0</v>
      </c>
      <c r="P25" s="362"/>
      <c r="R25" s="223">
        <f t="shared" ref="R25" si="5">G25*O25</f>
        <v>0</v>
      </c>
      <c r="S25" s="155"/>
    </row>
    <row r="26" spans="1:19" s="61" customFormat="1" ht="15.75" customHeight="1" x14ac:dyDescent="0.25">
      <c r="A26" s="435"/>
      <c r="B26" s="48" t="s">
        <v>482</v>
      </c>
      <c r="C26" s="48" t="s">
        <v>68</v>
      </c>
      <c r="D26" s="47" t="s">
        <v>24</v>
      </c>
      <c r="E26" s="47" t="s">
        <v>25</v>
      </c>
      <c r="F26" s="47" t="s">
        <v>18</v>
      </c>
      <c r="G26" s="47"/>
      <c r="H26" s="47">
        <v>2</v>
      </c>
      <c r="I26" s="47"/>
      <c r="J26" s="48"/>
      <c r="K26" s="363"/>
      <c r="L26" s="331"/>
      <c r="M26" s="363"/>
      <c r="N26" s="362"/>
      <c r="O26" s="362"/>
      <c r="P26" s="362">
        <v>0</v>
      </c>
      <c r="R26" s="223"/>
      <c r="S26" s="155">
        <f t="shared" ref="S26" si="6">H26*P26</f>
        <v>0</v>
      </c>
    </row>
    <row r="27" spans="1:19" s="61" customFormat="1" ht="15.75" customHeight="1" x14ac:dyDescent="0.25">
      <c r="A27" s="435"/>
      <c r="B27" s="48" t="s">
        <v>285</v>
      </c>
      <c r="C27" s="48" t="s">
        <v>68</v>
      </c>
      <c r="D27" s="47" t="s">
        <v>24</v>
      </c>
      <c r="E27" s="47" t="s">
        <v>25</v>
      </c>
      <c r="F27" s="47" t="s">
        <v>17</v>
      </c>
      <c r="G27" s="47">
        <v>1</v>
      </c>
      <c r="H27" s="38"/>
      <c r="I27" s="47"/>
      <c r="J27" s="363"/>
      <c r="K27" s="363"/>
      <c r="L27" s="331"/>
      <c r="M27" s="363"/>
      <c r="N27" s="362"/>
      <c r="O27" s="362">
        <v>0</v>
      </c>
      <c r="P27" s="362"/>
      <c r="R27" s="223">
        <f t="shared" ref="R27" si="7">G27*O27</f>
        <v>0</v>
      </c>
      <c r="S27" s="155"/>
    </row>
    <row r="28" spans="1:19" s="61" customFormat="1" ht="15.75" customHeight="1" x14ac:dyDescent="0.25">
      <c r="A28" s="435"/>
      <c r="B28" s="48" t="s">
        <v>285</v>
      </c>
      <c r="C28" s="48" t="s">
        <v>68</v>
      </c>
      <c r="D28" s="47" t="s">
        <v>24</v>
      </c>
      <c r="E28" s="47" t="s">
        <v>25</v>
      </c>
      <c r="F28" s="47" t="s">
        <v>18</v>
      </c>
      <c r="G28" s="47"/>
      <c r="H28" s="47">
        <v>2</v>
      </c>
      <c r="I28" s="47"/>
      <c r="J28" s="363"/>
      <c r="K28" s="363"/>
      <c r="L28" s="331"/>
      <c r="M28" s="363"/>
      <c r="N28" s="362"/>
      <c r="O28" s="362"/>
      <c r="P28" s="362">
        <v>0</v>
      </c>
      <c r="R28" s="223"/>
      <c r="S28" s="155">
        <f t="shared" ref="S28" si="8">H28*P28</f>
        <v>0</v>
      </c>
    </row>
    <row r="29" spans="1:19" s="61" customFormat="1" ht="15.75" customHeight="1" x14ac:dyDescent="0.25">
      <c r="A29" s="435"/>
      <c r="B29" s="48" t="s">
        <v>483</v>
      </c>
      <c r="C29" s="48" t="s">
        <v>68</v>
      </c>
      <c r="D29" s="47" t="s">
        <v>24</v>
      </c>
      <c r="E29" s="47" t="s">
        <v>25</v>
      </c>
      <c r="F29" s="47" t="s">
        <v>17</v>
      </c>
      <c r="G29" s="47">
        <v>1</v>
      </c>
      <c r="H29" s="38"/>
      <c r="I29" s="47"/>
      <c r="J29" s="363"/>
      <c r="K29" s="363"/>
      <c r="L29" s="331"/>
      <c r="M29" s="363"/>
      <c r="N29" s="362"/>
      <c r="O29" s="362">
        <v>0</v>
      </c>
      <c r="P29" s="362"/>
      <c r="R29" s="223">
        <f t="shared" ref="R29" si="9">G29*O29</f>
        <v>0</v>
      </c>
      <c r="S29" s="155"/>
    </row>
    <row r="30" spans="1:19" s="61" customFormat="1" ht="15.75" customHeight="1" x14ac:dyDescent="0.25">
      <c r="A30" s="435"/>
      <c r="B30" s="48" t="s">
        <v>483</v>
      </c>
      <c r="C30" s="48" t="s">
        <v>68</v>
      </c>
      <c r="D30" s="47" t="s">
        <v>24</v>
      </c>
      <c r="E30" s="47" t="s">
        <v>25</v>
      </c>
      <c r="F30" s="47" t="s">
        <v>18</v>
      </c>
      <c r="G30" s="47"/>
      <c r="H30" s="47">
        <v>2</v>
      </c>
      <c r="I30" s="47"/>
      <c r="J30" s="48"/>
      <c r="K30" s="363"/>
      <c r="L30" s="331"/>
      <c r="M30" s="363"/>
      <c r="N30" s="362"/>
      <c r="O30" s="362"/>
      <c r="P30" s="362">
        <v>0</v>
      </c>
      <c r="R30" s="223"/>
      <c r="S30" s="155">
        <f t="shared" ref="S30" si="10">H30*P30</f>
        <v>0</v>
      </c>
    </row>
    <row r="31" spans="1:19" s="61" customFormat="1" ht="15.75" customHeight="1" x14ac:dyDescent="0.25">
      <c r="A31" s="434">
        <v>7</v>
      </c>
      <c r="B31" s="48" t="s">
        <v>426</v>
      </c>
      <c r="C31" s="48" t="s">
        <v>68</v>
      </c>
      <c r="D31" s="47" t="s">
        <v>24</v>
      </c>
      <c r="E31" s="47" t="s">
        <v>25</v>
      </c>
      <c r="F31" s="47" t="s">
        <v>17</v>
      </c>
      <c r="G31" s="47">
        <v>1</v>
      </c>
      <c r="H31" s="38"/>
      <c r="I31" s="47"/>
      <c r="J31" s="251" t="s">
        <v>407</v>
      </c>
      <c r="K31" s="48" t="s">
        <v>43</v>
      </c>
      <c r="L31" s="331" t="s">
        <v>17</v>
      </c>
      <c r="M31" s="363" t="s">
        <v>26</v>
      </c>
      <c r="N31" s="362"/>
      <c r="O31" s="362">
        <v>1</v>
      </c>
      <c r="P31" s="362"/>
      <c r="R31" s="223">
        <f t="shared" si="0"/>
        <v>1</v>
      </c>
      <c r="S31" s="155"/>
    </row>
    <row r="32" spans="1:19" s="61" customFormat="1" ht="15.75" customHeight="1" x14ac:dyDescent="0.25">
      <c r="A32" s="435"/>
      <c r="B32" s="48" t="s">
        <v>426</v>
      </c>
      <c r="C32" s="48" t="s">
        <v>68</v>
      </c>
      <c r="D32" s="47" t="s">
        <v>24</v>
      </c>
      <c r="E32" s="47" t="s">
        <v>25</v>
      </c>
      <c r="F32" s="47" t="s">
        <v>18</v>
      </c>
      <c r="G32" s="47"/>
      <c r="H32" s="47">
        <v>2</v>
      </c>
      <c r="I32" s="47"/>
      <c r="J32" s="251" t="s">
        <v>407</v>
      </c>
      <c r="K32" s="48" t="s">
        <v>43</v>
      </c>
      <c r="L32" s="331" t="s">
        <v>17</v>
      </c>
      <c r="M32" s="363" t="s">
        <v>26</v>
      </c>
      <c r="N32" s="362"/>
      <c r="O32" s="362"/>
      <c r="P32" s="362">
        <v>1</v>
      </c>
      <c r="R32" s="223"/>
      <c r="S32" s="155">
        <f t="shared" si="0"/>
        <v>2</v>
      </c>
    </row>
    <row r="33" spans="1:19" s="61" customFormat="1" ht="15.75" customHeight="1" x14ac:dyDescent="0.25">
      <c r="A33" s="435"/>
      <c r="B33" s="48" t="s">
        <v>484</v>
      </c>
      <c r="C33" s="48" t="s">
        <v>68</v>
      </c>
      <c r="D33" s="47" t="s">
        <v>24</v>
      </c>
      <c r="E33" s="47" t="s">
        <v>25</v>
      </c>
      <c r="F33" s="47" t="s">
        <v>17</v>
      </c>
      <c r="G33" s="47">
        <v>1</v>
      </c>
      <c r="H33" s="38"/>
      <c r="I33" s="47"/>
      <c r="J33" s="48" t="s">
        <v>485</v>
      </c>
      <c r="K33" s="363" t="s">
        <v>82</v>
      </c>
      <c r="L33" s="331" t="s">
        <v>17</v>
      </c>
      <c r="M33" s="363" t="s">
        <v>26</v>
      </c>
      <c r="N33" s="362"/>
      <c r="O33" s="362">
        <v>1</v>
      </c>
      <c r="P33" s="362"/>
      <c r="R33" s="223">
        <f t="shared" ref="R33" si="11">G33*O33</f>
        <v>1</v>
      </c>
      <c r="S33" s="155"/>
    </row>
    <row r="34" spans="1:19" s="61" customFormat="1" ht="15.75" customHeight="1" x14ac:dyDescent="0.25">
      <c r="A34" s="435"/>
      <c r="B34" s="48" t="s">
        <v>484</v>
      </c>
      <c r="C34" s="48" t="s">
        <v>68</v>
      </c>
      <c r="D34" s="47" t="s">
        <v>24</v>
      </c>
      <c r="E34" s="47" t="s">
        <v>25</v>
      </c>
      <c r="F34" s="47" t="s">
        <v>18</v>
      </c>
      <c r="G34" s="47"/>
      <c r="H34" s="47">
        <v>2</v>
      </c>
      <c r="I34" s="47"/>
      <c r="J34" s="48" t="s">
        <v>485</v>
      </c>
      <c r="K34" s="363" t="s">
        <v>82</v>
      </c>
      <c r="L34" s="331" t="s">
        <v>17</v>
      </c>
      <c r="M34" s="363" t="s">
        <v>26</v>
      </c>
      <c r="N34" s="362"/>
      <c r="O34" s="362"/>
      <c r="P34" s="362">
        <v>1</v>
      </c>
      <c r="R34" s="223"/>
      <c r="S34" s="155">
        <f t="shared" ref="S34" si="12">H34*P34</f>
        <v>2</v>
      </c>
    </row>
    <row r="35" spans="1:19" s="61" customFormat="1" ht="15.75" customHeight="1" x14ac:dyDescent="0.25">
      <c r="A35" s="435"/>
      <c r="B35" s="48" t="s">
        <v>429</v>
      </c>
      <c r="C35" s="48" t="s">
        <v>68</v>
      </c>
      <c r="D35" s="47" t="s">
        <v>24</v>
      </c>
      <c r="E35" s="47" t="s">
        <v>25</v>
      </c>
      <c r="F35" s="47" t="s">
        <v>17</v>
      </c>
      <c r="G35" s="47">
        <v>1</v>
      </c>
      <c r="H35" s="38"/>
      <c r="I35" s="47"/>
      <c r="J35" s="55" t="s">
        <v>451</v>
      </c>
      <c r="K35" s="298" t="s">
        <v>28</v>
      </c>
      <c r="L35" s="73" t="s">
        <v>17</v>
      </c>
      <c r="M35" s="55" t="s">
        <v>26</v>
      </c>
      <c r="N35" s="362"/>
      <c r="O35" s="362">
        <v>0</v>
      </c>
      <c r="P35" s="362"/>
      <c r="R35" s="223">
        <f t="shared" ref="R35" si="13">G35*O35</f>
        <v>0</v>
      </c>
      <c r="S35" s="155"/>
    </row>
    <row r="36" spans="1:19" s="61" customFormat="1" ht="15.75" customHeight="1" x14ac:dyDescent="0.25">
      <c r="A36" s="435"/>
      <c r="B36" s="48" t="s">
        <v>429</v>
      </c>
      <c r="C36" s="48" t="s">
        <v>68</v>
      </c>
      <c r="D36" s="47" t="s">
        <v>24</v>
      </c>
      <c r="E36" s="47" t="s">
        <v>25</v>
      </c>
      <c r="F36" s="47" t="s">
        <v>18</v>
      </c>
      <c r="G36" s="47"/>
      <c r="H36" s="47">
        <v>2</v>
      </c>
      <c r="I36" s="47"/>
      <c r="J36" s="55" t="s">
        <v>551</v>
      </c>
      <c r="K36" s="48" t="s">
        <v>195</v>
      </c>
      <c r="L36" s="122" t="s">
        <v>17</v>
      </c>
      <c r="M36" s="251" t="s">
        <v>26</v>
      </c>
      <c r="N36" s="362"/>
      <c r="O36" s="362"/>
      <c r="P36" s="362">
        <v>0</v>
      </c>
      <c r="R36" s="223"/>
      <c r="S36" s="155">
        <f t="shared" ref="S36" si="14">H36*P36</f>
        <v>0</v>
      </c>
    </row>
    <row r="37" spans="1:19" s="61" customFormat="1" ht="15.75" customHeight="1" x14ac:dyDescent="0.25">
      <c r="A37" s="435"/>
      <c r="B37" s="48" t="s">
        <v>543</v>
      </c>
      <c r="C37" s="48" t="s">
        <v>68</v>
      </c>
      <c r="D37" s="47" t="s">
        <v>24</v>
      </c>
      <c r="E37" s="47" t="s">
        <v>25</v>
      </c>
      <c r="F37" s="47" t="s">
        <v>17</v>
      </c>
      <c r="G37" s="47">
        <v>1</v>
      </c>
      <c r="H37" s="38"/>
      <c r="I37" s="47"/>
      <c r="J37" s="150" t="s">
        <v>563</v>
      </c>
      <c r="K37" s="425" t="s">
        <v>82</v>
      </c>
      <c r="L37" s="331" t="s">
        <v>17</v>
      </c>
      <c r="M37" s="363" t="s">
        <v>26</v>
      </c>
      <c r="N37" s="362"/>
      <c r="O37" s="362">
        <v>0</v>
      </c>
      <c r="P37" s="362"/>
      <c r="R37" s="223">
        <f t="shared" ref="R37" si="15">G37*O37</f>
        <v>0</v>
      </c>
      <c r="S37" s="155"/>
    </row>
    <row r="38" spans="1:19" s="61" customFormat="1" ht="15.75" customHeight="1" x14ac:dyDescent="0.25">
      <c r="A38" s="435"/>
      <c r="B38" s="48" t="s">
        <v>543</v>
      </c>
      <c r="C38" s="48" t="s">
        <v>68</v>
      </c>
      <c r="D38" s="47" t="s">
        <v>24</v>
      </c>
      <c r="E38" s="47" t="s">
        <v>25</v>
      </c>
      <c r="F38" s="47" t="s">
        <v>18</v>
      </c>
      <c r="G38" s="47"/>
      <c r="H38" s="47">
        <v>2</v>
      </c>
      <c r="I38" s="47"/>
      <c r="J38" s="150" t="s">
        <v>563</v>
      </c>
      <c r="K38" s="425" t="s">
        <v>82</v>
      </c>
      <c r="L38" s="331" t="s">
        <v>17</v>
      </c>
      <c r="M38" s="363" t="s">
        <v>26</v>
      </c>
      <c r="N38" s="362"/>
      <c r="O38" s="362"/>
      <c r="P38" s="362">
        <v>0</v>
      </c>
      <c r="R38" s="223"/>
      <c r="S38" s="155">
        <f t="shared" ref="S38" si="16">H38*P38</f>
        <v>0</v>
      </c>
    </row>
    <row r="39" spans="1:19" s="61" customFormat="1" ht="15.75" customHeight="1" x14ac:dyDescent="0.25">
      <c r="A39" s="435"/>
      <c r="B39" s="48" t="s">
        <v>428</v>
      </c>
      <c r="C39" s="48" t="s">
        <v>68</v>
      </c>
      <c r="D39" s="47" t="s">
        <v>24</v>
      </c>
      <c r="E39" s="47" t="s">
        <v>25</v>
      </c>
      <c r="F39" s="47" t="s">
        <v>17</v>
      </c>
      <c r="G39" s="47">
        <v>1</v>
      </c>
      <c r="H39" s="38"/>
      <c r="I39" s="47"/>
      <c r="J39" s="133" t="s">
        <v>450</v>
      </c>
      <c r="K39" s="48" t="s">
        <v>564</v>
      </c>
      <c r="L39" s="47" t="s">
        <v>17</v>
      </c>
      <c r="M39" s="359" t="s">
        <v>26</v>
      </c>
      <c r="N39" s="362"/>
      <c r="O39" s="362">
        <v>0</v>
      </c>
      <c r="P39" s="362"/>
      <c r="R39" s="223">
        <f t="shared" ref="R39" si="17">G39*O39</f>
        <v>0</v>
      </c>
      <c r="S39" s="155"/>
    </row>
    <row r="40" spans="1:19" s="61" customFormat="1" ht="15.75" customHeight="1" x14ac:dyDescent="0.25">
      <c r="A40" s="435"/>
      <c r="B40" s="48" t="s">
        <v>428</v>
      </c>
      <c r="C40" s="48" t="s">
        <v>68</v>
      </c>
      <c r="D40" s="47" t="s">
        <v>24</v>
      </c>
      <c r="E40" s="47" t="s">
        <v>25</v>
      </c>
      <c r="F40" s="47" t="s">
        <v>18</v>
      </c>
      <c r="G40" s="47"/>
      <c r="H40" s="47">
        <v>2</v>
      </c>
      <c r="I40" s="47"/>
      <c r="J40" s="133" t="s">
        <v>450</v>
      </c>
      <c r="K40" s="48" t="s">
        <v>564</v>
      </c>
      <c r="L40" s="47" t="s">
        <v>17</v>
      </c>
      <c r="M40" s="359" t="s">
        <v>26</v>
      </c>
      <c r="N40" s="362"/>
      <c r="O40" s="362"/>
      <c r="P40" s="362">
        <v>0</v>
      </c>
      <c r="R40" s="223"/>
      <c r="S40" s="155">
        <f t="shared" ref="S40" si="18">H40*P40</f>
        <v>0</v>
      </c>
    </row>
    <row r="41" spans="1:19" s="61" customFormat="1" ht="15.75" customHeight="1" x14ac:dyDescent="0.25">
      <c r="A41" s="434">
        <v>8</v>
      </c>
      <c r="B41" s="48" t="s">
        <v>75</v>
      </c>
      <c r="C41" s="48" t="s">
        <v>68</v>
      </c>
      <c r="D41" s="47" t="s">
        <v>76</v>
      </c>
      <c r="E41" s="47" t="s">
        <v>25</v>
      </c>
      <c r="F41" s="47" t="s">
        <v>17</v>
      </c>
      <c r="G41" s="47">
        <v>3</v>
      </c>
      <c r="H41" s="47"/>
      <c r="I41" s="47"/>
      <c r="J41" s="251" t="s">
        <v>409</v>
      </c>
      <c r="K41" s="48" t="s">
        <v>43</v>
      </c>
      <c r="L41" s="331" t="s">
        <v>17</v>
      </c>
      <c r="M41" s="363" t="s">
        <v>26</v>
      </c>
      <c r="N41" s="73"/>
      <c r="O41" s="362">
        <v>1</v>
      </c>
      <c r="P41" s="362"/>
      <c r="R41" s="223">
        <f t="shared" si="0"/>
        <v>3</v>
      </c>
      <c r="S41" s="155"/>
    </row>
    <row r="42" spans="1:19" s="61" customFormat="1" ht="15.75" customHeight="1" x14ac:dyDescent="0.25">
      <c r="A42" s="435"/>
      <c r="B42" s="48" t="s">
        <v>75</v>
      </c>
      <c r="C42" s="48" t="s">
        <v>68</v>
      </c>
      <c r="D42" s="47" t="s">
        <v>76</v>
      </c>
      <c r="E42" s="47" t="s">
        <v>25</v>
      </c>
      <c r="F42" s="47" t="s">
        <v>18</v>
      </c>
      <c r="G42" s="47"/>
      <c r="H42" s="47">
        <v>3</v>
      </c>
      <c r="I42" s="47"/>
      <c r="J42" s="251" t="s">
        <v>409</v>
      </c>
      <c r="K42" s="48" t="s">
        <v>43</v>
      </c>
      <c r="L42" s="331" t="s">
        <v>17</v>
      </c>
      <c r="M42" s="363" t="s">
        <v>26</v>
      </c>
      <c r="N42" s="73"/>
      <c r="O42" s="362"/>
      <c r="P42" s="362">
        <v>1</v>
      </c>
      <c r="R42" s="223"/>
      <c r="S42" s="155">
        <f t="shared" si="0"/>
        <v>3</v>
      </c>
    </row>
    <row r="43" spans="1:19" s="61" customFormat="1" ht="15.75" customHeight="1" x14ac:dyDescent="0.25">
      <c r="A43" s="434">
        <v>9</v>
      </c>
      <c r="B43" s="48" t="s">
        <v>77</v>
      </c>
      <c r="C43" s="48" t="s">
        <v>68</v>
      </c>
      <c r="D43" s="47" t="s">
        <v>76</v>
      </c>
      <c r="E43" s="47" t="s">
        <v>25</v>
      </c>
      <c r="F43" s="47" t="s">
        <v>17</v>
      </c>
      <c r="G43" s="47">
        <v>2</v>
      </c>
      <c r="H43" s="38"/>
      <c r="I43" s="47"/>
      <c r="J43" s="48" t="s">
        <v>454</v>
      </c>
      <c r="K43" s="48" t="s">
        <v>28</v>
      </c>
      <c r="L43" s="47" t="s">
        <v>17</v>
      </c>
      <c r="M43" s="48" t="s">
        <v>26</v>
      </c>
      <c r="N43" s="73"/>
      <c r="O43" s="362">
        <v>1</v>
      </c>
      <c r="P43" s="362"/>
      <c r="R43" s="223">
        <f t="shared" si="0"/>
        <v>2</v>
      </c>
      <c r="S43" s="155"/>
    </row>
    <row r="44" spans="1:19" s="61" customFormat="1" ht="15.75" customHeight="1" x14ac:dyDescent="0.25">
      <c r="A44" s="435"/>
      <c r="B44" s="48" t="s">
        <v>77</v>
      </c>
      <c r="C44" s="48" t="s">
        <v>68</v>
      </c>
      <c r="D44" s="47" t="s">
        <v>76</v>
      </c>
      <c r="E44" s="47" t="s">
        <v>25</v>
      </c>
      <c r="F44" s="47" t="s">
        <v>18</v>
      </c>
      <c r="G44" s="47"/>
      <c r="H44" s="47">
        <v>2</v>
      </c>
      <c r="I44" s="47"/>
      <c r="J44" s="48" t="s">
        <v>465</v>
      </c>
      <c r="K44" s="48" t="s">
        <v>82</v>
      </c>
      <c r="L44" s="47" t="s">
        <v>17</v>
      </c>
      <c r="M44" s="48" t="s">
        <v>26</v>
      </c>
      <c r="N44" s="73"/>
      <c r="O44" s="362"/>
      <c r="P44" s="362">
        <v>1</v>
      </c>
      <c r="R44" s="223"/>
      <c r="S44" s="155">
        <f t="shared" si="0"/>
        <v>2</v>
      </c>
    </row>
    <row r="45" spans="1:19" s="61" customFormat="1" ht="15.75" customHeight="1" x14ac:dyDescent="0.25">
      <c r="A45" s="434">
        <v>10</v>
      </c>
      <c r="B45" s="48" t="s">
        <v>39</v>
      </c>
      <c r="C45" s="48" t="s">
        <v>68</v>
      </c>
      <c r="D45" s="47" t="s">
        <v>76</v>
      </c>
      <c r="E45" s="47" t="s">
        <v>25</v>
      </c>
      <c r="F45" s="47" t="s">
        <v>17</v>
      </c>
      <c r="G45" s="47">
        <v>3</v>
      </c>
      <c r="H45" s="38"/>
      <c r="I45" s="47"/>
      <c r="J45" s="363" t="s">
        <v>457</v>
      </c>
      <c r="K45" s="363" t="s">
        <v>43</v>
      </c>
      <c r="L45" s="47" t="s">
        <v>17</v>
      </c>
      <c r="M45" s="48" t="s">
        <v>26</v>
      </c>
      <c r="N45" s="73"/>
      <c r="O45" s="362">
        <v>1</v>
      </c>
      <c r="P45" s="362"/>
      <c r="R45" s="223">
        <f t="shared" si="0"/>
        <v>3</v>
      </c>
      <c r="S45" s="155"/>
    </row>
    <row r="46" spans="1:19" s="61" customFormat="1" ht="15.75" customHeight="1" x14ac:dyDescent="0.25">
      <c r="A46" s="435"/>
      <c r="B46" s="48" t="s">
        <v>39</v>
      </c>
      <c r="C46" s="48" t="s">
        <v>68</v>
      </c>
      <c r="D46" s="47" t="s">
        <v>76</v>
      </c>
      <c r="E46" s="47" t="s">
        <v>25</v>
      </c>
      <c r="F46" s="47" t="s">
        <v>18</v>
      </c>
      <c r="G46" s="47"/>
      <c r="H46" s="47">
        <v>2</v>
      </c>
      <c r="I46" s="47"/>
      <c r="J46" s="363" t="s">
        <v>457</v>
      </c>
      <c r="K46" s="363" t="s">
        <v>43</v>
      </c>
      <c r="L46" s="331" t="s">
        <v>17</v>
      </c>
      <c r="M46" s="363" t="s">
        <v>26</v>
      </c>
      <c r="N46" s="73"/>
      <c r="O46" s="362"/>
      <c r="P46" s="362">
        <v>1</v>
      </c>
      <c r="R46" s="223"/>
      <c r="S46" s="155">
        <f t="shared" si="0"/>
        <v>2</v>
      </c>
    </row>
    <row r="47" spans="1:19" s="61" customFormat="1" x14ac:dyDescent="0.25">
      <c r="A47" s="434">
        <v>11</v>
      </c>
      <c r="B47" s="48" t="s">
        <v>95</v>
      </c>
      <c r="C47" s="48" t="s">
        <v>68</v>
      </c>
      <c r="D47" s="47" t="s">
        <v>36</v>
      </c>
      <c r="E47" s="214" t="s">
        <v>51</v>
      </c>
      <c r="F47" s="47" t="s">
        <v>17</v>
      </c>
      <c r="G47" s="47">
        <v>3</v>
      </c>
      <c r="H47" s="38"/>
      <c r="I47" s="47"/>
      <c r="J47" s="377" t="s">
        <v>472</v>
      </c>
      <c r="K47" s="363" t="s">
        <v>82</v>
      </c>
      <c r="L47" s="331" t="s">
        <v>17</v>
      </c>
      <c r="M47" s="363" t="s">
        <v>26</v>
      </c>
      <c r="N47" s="73"/>
      <c r="O47" s="362">
        <v>1</v>
      </c>
      <c r="P47" s="362"/>
      <c r="R47" s="223">
        <f t="shared" ref="R47" si="19">G47*O47</f>
        <v>3</v>
      </c>
      <c r="S47" s="155"/>
    </row>
    <row r="48" spans="1:19" s="62" customFormat="1" ht="15.75" customHeight="1" x14ac:dyDescent="0.25">
      <c r="A48" s="435"/>
      <c r="B48" s="363" t="s">
        <v>95</v>
      </c>
      <c r="C48" s="363" t="s">
        <v>68</v>
      </c>
      <c r="D48" s="331" t="s">
        <v>36</v>
      </c>
      <c r="E48" s="214" t="s">
        <v>51</v>
      </c>
      <c r="F48" s="331" t="s">
        <v>18</v>
      </c>
      <c r="G48" s="331"/>
      <c r="H48" s="331">
        <v>2</v>
      </c>
      <c r="I48" s="331"/>
      <c r="J48" s="363" t="s">
        <v>410</v>
      </c>
      <c r="K48" s="48" t="s">
        <v>408</v>
      </c>
      <c r="L48" s="122" t="s">
        <v>17</v>
      </c>
      <c r="M48" s="134" t="s">
        <v>26</v>
      </c>
      <c r="N48" s="122"/>
      <c r="O48" s="154"/>
      <c r="P48" s="154">
        <v>1</v>
      </c>
      <c r="R48" s="223"/>
      <c r="S48" s="155">
        <f t="shared" ref="S48" si="20">H48*P48</f>
        <v>2</v>
      </c>
    </row>
    <row r="49" spans="1:23" s="61" customFormat="1" ht="25.5" x14ac:dyDescent="0.25">
      <c r="A49" s="435">
        <v>12</v>
      </c>
      <c r="B49" s="48" t="s">
        <v>275</v>
      </c>
      <c r="C49" s="48" t="s">
        <v>68</v>
      </c>
      <c r="D49" s="47" t="s">
        <v>76</v>
      </c>
      <c r="E49" s="47" t="s">
        <v>25</v>
      </c>
      <c r="F49" s="47" t="s">
        <v>17</v>
      </c>
      <c r="G49" s="47">
        <v>2</v>
      </c>
      <c r="H49" s="47"/>
      <c r="I49" s="47"/>
      <c r="J49" s="48" t="s">
        <v>486</v>
      </c>
      <c r="K49" s="48" t="s">
        <v>82</v>
      </c>
      <c r="L49" s="47" t="s">
        <v>41</v>
      </c>
      <c r="M49" s="48" t="s">
        <v>280</v>
      </c>
      <c r="N49" s="73"/>
      <c r="O49" s="362">
        <v>1</v>
      </c>
      <c r="P49" s="362"/>
      <c r="R49" s="223">
        <f t="shared" ref="R49" si="21">G49*O49</f>
        <v>2</v>
      </c>
      <c r="S49" s="155"/>
    </row>
    <row r="50" spans="1:23" s="61" customFormat="1" ht="25.5" x14ac:dyDescent="0.25">
      <c r="A50" s="435"/>
      <c r="B50" s="48" t="s">
        <v>275</v>
      </c>
      <c r="C50" s="48" t="s">
        <v>68</v>
      </c>
      <c r="D50" s="47" t="s">
        <v>76</v>
      </c>
      <c r="E50" s="47" t="s">
        <v>25</v>
      </c>
      <c r="F50" s="47" t="s">
        <v>18</v>
      </c>
      <c r="G50" s="47"/>
      <c r="H50" s="47">
        <v>1</v>
      </c>
      <c r="I50" s="47"/>
      <c r="J50" s="48" t="s">
        <v>486</v>
      </c>
      <c r="K50" s="48" t="s">
        <v>82</v>
      </c>
      <c r="L50" s="47" t="s">
        <v>41</v>
      </c>
      <c r="M50" s="48" t="s">
        <v>280</v>
      </c>
      <c r="N50" s="73"/>
      <c r="O50" s="362"/>
      <c r="P50" s="362">
        <v>1</v>
      </c>
      <c r="R50" s="223"/>
      <c r="S50" s="155">
        <f t="shared" ref="S50" si="22">H50*P50</f>
        <v>1</v>
      </c>
    </row>
    <row r="51" spans="1:23" s="61" customFormat="1" ht="15.75" customHeight="1" x14ac:dyDescent="0.25">
      <c r="A51" s="434">
        <v>13</v>
      </c>
      <c r="B51" s="48" t="s">
        <v>79</v>
      </c>
      <c r="C51" s="48" t="s">
        <v>68</v>
      </c>
      <c r="D51" s="47" t="s">
        <v>76</v>
      </c>
      <c r="E51" s="47" t="s">
        <v>25</v>
      </c>
      <c r="F51" s="47" t="s">
        <v>17</v>
      </c>
      <c r="G51" s="47">
        <v>1</v>
      </c>
      <c r="H51" s="38"/>
      <c r="I51" s="47"/>
      <c r="J51" s="48" t="s">
        <v>447</v>
      </c>
      <c r="K51" s="251" t="s">
        <v>28</v>
      </c>
      <c r="L51" s="47" t="s">
        <v>17</v>
      </c>
      <c r="M51" s="48" t="s">
        <v>26</v>
      </c>
      <c r="N51" s="73"/>
      <c r="O51" s="362">
        <v>1</v>
      </c>
      <c r="P51" s="362"/>
      <c r="R51" s="223">
        <f t="shared" si="0"/>
        <v>1</v>
      </c>
      <c r="S51" s="155"/>
    </row>
    <row r="52" spans="1:23" s="61" customFormat="1" ht="15.75" customHeight="1" x14ac:dyDescent="0.25">
      <c r="A52" s="435"/>
      <c r="B52" s="48" t="s">
        <v>79</v>
      </c>
      <c r="C52" s="48" t="s">
        <v>68</v>
      </c>
      <c r="D52" s="47" t="s">
        <v>76</v>
      </c>
      <c r="E52" s="47" t="s">
        <v>25</v>
      </c>
      <c r="F52" s="47" t="s">
        <v>18</v>
      </c>
      <c r="G52" s="47"/>
      <c r="H52" s="47">
        <v>2</v>
      </c>
      <c r="I52" s="47"/>
      <c r="J52" s="48" t="s">
        <v>447</v>
      </c>
      <c r="K52" s="251" t="s">
        <v>28</v>
      </c>
      <c r="L52" s="47" t="s">
        <v>17</v>
      </c>
      <c r="M52" s="48" t="s">
        <v>26</v>
      </c>
      <c r="N52" s="73"/>
      <c r="O52" s="362"/>
      <c r="P52" s="362">
        <v>1</v>
      </c>
      <c r="R52" s="223"/>
      <c r="S52" s="155">
        <f t="shared" si="0"/>
        <v>2</v>
      </c>
    </row>
    <row r="53" spans="1:23" s="61" customFormat="1" ht="15.75" customHeight="1" x14ac:dyDescent="0.25">
      <c r="A53" s="435"/>
      <c r="B53" s="48" t="s">
        <v>432</v>
      </c>
      <c r="C53" s="48" t="s">
        <v>68</v>
      </c>
      <c r="D53" s="47" t="s">
        <v>76</v>
      </c>
      <c r="E53" s="47" t="s">
        <v>25</v>
      </c>
      <c r="F53" s="47" t="s">
        <v>17</v>
      </c>
      <c r="G53" s="47">
        <v>1</v>
      </c>
      <c r="H53" s="38"/>
      <c r="I53" s="47"/>
      <c r="J53" s="251" t="s">
        <v>407</v>
      </c>
      <c r="K53" s="48" t="s">
        <v>43</v>
      </c>
      <c r="L53" s="331" t="s">
        <v>17</v>
      </c>
      <c r="M53" s="363" t="s">
        <v>26</v>
      </c>
      <c r="N53" s="73"/>
      <c r="O53" s="362">
        <v>1</v>
      </c>
      <c r="P53" s="362"/>
      <c r="R53" s="223">
        <f t="shared" ref="R53" si="23">G53*O53</f>
        <v>1</v>
      </c>
      <c r="S53" s="155"/>
    </row>
    <row r="54" spans="1:23" s="61" customFormat="1" x14ac:dyDescent="0.25">
      <c r="A54" s="435"/>
      <c r="B54" s="48" t="s">
        <v>432</v>
      </c>
      <c r="C54" s="48" t="s">
        <v>68</v>
      </c>
      <c r="D54" s="47" t="s">
        <v>76</v>
      </c>
      <c r="E54" s="47" t="s">
        <v>25</v>
      </c>
      <c r="F54" s="47" t="s">
        <v>18</v>
      </c>
      <c r="G54" s="47"/>
      <c r="H54" s="47">
        <v>2</v>
      </c>
      <c r="I54" s="47"/>
      <c r="J54" s="251" t="s">
        <v>407</v>
      </c>
      <c r="K54" s="48" t="s">
        <v>43</v>
      </c>
      <c r="L54" s="331" t="s">
        <v>17</v>
      </c>
      <c r="M54" s="363" t="s">
        <v>26</v>
      </c>
      <c r="N54" s="73"/>
      <c r="O54" s="362"/>
      <c r="P54" s="362">
        <v>1</v>
      </c>
      <c r="R54" s="223"/>
      <c r="S54" s="155">
        <f t="shared" ref="S54" si="24">H54*P54</f>
        <v>2</v>
      </c>
    </row>
    <row r="55" spans="1:23" s="61" customFormat="1" ht="15.75" customHeight="1" x14ac:dyDescent="0.25">
      <c r="A55" s="435"/>
      <c r="B55" s="48" t="s">
        <v>276</v>
      </c>
      <c r="C55" s="48" t="s">
        <v>68</v>
      </c>
      <c r="D55" s="47" t="s">
        <v>76</v>
      </c>
      <c r="E55" s="47" t="s">
        <v>25</v>
      </c>
      <c r="F55" s="47" t="s">
        <v>17</v>
      </c>
      <c r="G55" s="47">
        <v>1</v>
      </c>
      <c r="H55" s="38"/>
      <c r="I55" s="47"/>
      <c r="J55" s="251" t="s">
        <v>409</v>
      </c>
      <c r="K55" s="48" t="s">
        <v>43</v>
      </c>
      <c r="L55" s="331" t="s">
        <v>17</v>
      </c>
      <c r="M55" s="363" t="s">
        <v>26</v>
      </c>
      <c r="N55" s="73"/>
      <c r="O55" s="362">
        <v>0</v>
      </c>
      <c r="P55" s="362"/>
      <c r="R55" s="223">
        <f t="shared" ref="R55" si="25">G55*O55</f>
        <v>0</v>
      </c>
      <c r="S55" s="155"/>
    </row>
    <row r="56" spans="1:23" s="61" customFormat="1" ht="15.75" customHeight="1" x14ac:dyDescent="0.25">
      <c r="A56" s="435"/>
      <c r="B56" s="48" t="s">
        <v>276</v>
      </c>
      <c r="C56" s="48" t="s">
        <v>68</v>
      </c>
      <c r="D56" s="47" t="s">
        <v>76</v>
      </c>
      <c r="E56" s="47" t="s">
        <v>25</v>
      </c>
      <c r="F56" s="47" t="s">
        <v>18</v>
      </c>
      <c r="G56" s="47"/>
      <c r="H56" s="47">
        <v>2</v>
      </c>
      <c r="I56" s="47"/>
      <c r="J56" s="251" t="s">
        <v>409</v>
      </c>
      <c r="K56" s="48" t="s">
        <v>43</v>
      </c>
      <c r="L56" s="331" t="s">
        <v>17</v>
      </c>
      <c r="M56" s="363" t="s">
        <v>26</v>
      </c>
      <c r="N56" s="73"/>
      <c r="O56" s="362"/>
      <c r="P56" s="362">
        <v>0</v>
      </c>
      <c r="R56" s="223"/>
      <c r="S56" s="155">
        <f t="shared" ref="S56" si="26">H56*P56</f>
        <v>0</v>
      </c>
    </row>
    <row r="57" spans="1:23" s="61" customFormat="1" x14ac:dyDescent="0.25">
      <c r="A57" s="435"/>
      <c r="B57" s="48" t="s">
        <v>434</v>
      </c>
      <c r="C57" s="48" t="s">
        <v>68</v>
      </c>
      <c r="D57" s="47" t="s">
        <v>76</v>
      </c>
      <c r="E57" s="47" t="s">
        <v>25</v>
      </c>
      <c r="F57" s="47" t="s">
        <v>17</v>
      </c>
      <c r="G57" s="47">
        <v>1</v>
      </c>
      <c r="H57" s="38"/>
      <c r="I57" s="47"/>
      <c r="J57" s="251" t="s">
        <v>466</v>
      </c>
      <c r="K57" s="48" t="s">
        <v>564</v>
      </c>
      <c r="L57" s="73" t="s">
        <v>17</v>
      </c>
      <c r="M57" s="55" t="s">
        <v>26</v>
      </c>
      <c r="N57" s="73"/>
      <c r="O57" s="362">
        <v>0</v>
      </c>
      <c r="P57" s="362"/>
      <c r="R57" s="223">
        <v>1</v>
      </c>
      <c r="S57" s="155"/>
      <c r="T57" s="62"/>
      <c r="U57" s="62"/>
      <c r="V57" s="62"/>
      <c r="W57" s="62"/>
    </row>
    <row r="58" spans="1:23" s="61" customFormat="1" ht="25.5" x14ac:dyDescent="0.25">
      <c r="A58" s="435"/>
      <c r="B58" s="48" t="s">
        <v>434</v>
      </c>
      <c r="C58" s="48" t="s">
        <v>68</v>
      </c>
      <c r="D58" s="47" t="s">
        <v>76</v>
      </c>
      <c r="E58" s="47" t="s">
        <v>25</v>
      </c>
      <c r="F58" s="47" t="s">
        <v>18</v>
      </c>
      <c r="G58" s="47"/>
      <c r="H58" s="47">
        <v>2</v>
      </c>
      <c r="I58" s="47"/>
      <c r="J58" s="251" t="s">
        <v>323</v>
      </c>
      <c r="K58" s="48" t="s">
        <v>303</v>
      </c>
      <c r="L58" s="73" t="s">
        <v>17</v>
      </c>
      <c r="M58" s="55" t="s">
        <v>26</v>
      </c>
      <c r="N58" s="73"/>
      <c r="O58" s="362"/>
      <c r="P58" s="362">
        <v>0</v>
      </c>
      <c r="R58" s="223"/>
      <c r="S58" s="155">
        <v>2</v>
      </c>
    </row>
    <row r="59" spans="1:23" s="61" customFormat="1" ht="25.5" x14ac:dyDescent="0.25">
      <c r="A59" s="446">
        <v>14</v>
      </c>
      <c r="B59" s="48" t="s">
        <v>80</v>
      </c>
      <c r="C59" s="48" t="s">
        <v>68</v>
      </c>
      <c r="D59" s="47" t="s">
        <v>81</v>
      </c>
      <c r="E59" s="47" t="s">
        <v>25</v>
      </c>
      <c r="F59" s="47" t="s">
        <v>17</v>
      </c>
      <c r="G59" s="47">
        <v>3</v>
      </c>
      <c r="H59" s="38"/>
      <c r="I59" s="47"/>
      <c r="J59" s="48" t="s">
        <v>485</v>
      </c>
      <c r="K59" s="363" t="s">
        <v>82</v>
      </c>
      <c r="L59" s="331" t="s">
        <v>17</v>
      </c>
      <c r="M59" s="363" t="s">
        <v>26</v>
      </c>
      <c r="N59" s="73"/>
      <c r="O59" s="362">
        <v>1</v>
      </c>
      <c r="P59" s="362"/>
      <c r="R59" s="223">
        <f t="shared" si="0"/>
        <v>3</v>
      </c>
      <c r="S59" s="155"/>
    </row>
    <row r="60" spans="1:23" s="61" customFormat="1" ht="25.5" x14ac:dyDescent="0.25">
      <c r="A60" s="448"/>
      <c r="B60" s="48" t="s">
        <v>80</v>
      </c>
      <c r="C60" s="48" t="s">
        <v>68</v>
      </c>
      <c r="D60" s="47" t="s">
        <v>81</v>
      </c>
      <c r="E60" s="47" t="s">
        <v>25</v>
      </c>
      <c r="F60" s="47" t="s">
        <v>18</v>
      </c>
      <c r="G60" s="47"/>
      <c r="H60" s="47">
        <v>4</v>
      </c>
      <c r="I60" s="47"/>
      <c r="J60" s="48" t="s">
        <v>485</v>
      </c>
      <c r="K60" s="363" t="s">
        <v>82</v>
      </c>
      <c r="L60" s="331" t="s">
        <v>17</v>
      </c>
      <c r="M60" s="363" t="s">
        <v>26</v>
      </c>
      <c r="N60" s="73"/>
      <c r="O60" s="362"/>
      <c r="P60" s="362">
        <v>1</v>
      </c>
      <c r="R60" s="223"/>
      <c r="S60" s="155">
        <f t="shared" si="0"/>
        <v>4</v>
      </c>
    </row>
    <row r="61" spans="1:23" s="61" customFormat="1" ht="25.5" x14ac:dyDescent="0.25">
      <c r="A61" s="434">
        <v>15</v>
      </c>
      <c r="B61" s="48" t="s">
        <v>487</v>
      </c>
      <c r="C61" s="48" t="s">
        <v>68</v>
      </c>
      <c r="D61" s="47" t="s">
        <v>81</v>
      </c>
      <c r="E61" s="47" t="s">
        <v>25</v>
      </c>
      <c r="F61" s="47" t="s">
        <v>17</v>
      </c>
      <c r="G61" s="47">
        <v>3</v>
      </c>
      <c r="H61" s="38"/>
      <c r="I61" s="47"/>
      <c r="J61" s="48" t="s">
        <v>455</v>
      </c>
      <c r="K61" s="48" t="s">
        <v>28</v>
      </c>
      <c r="L61" s="47" t="s">
        <v>17</v>
      </c>
      <c r="M61" s="48" t="s">
        <v>26</v>
      </c>
      <c r="N61" s="73"/>
      <c r="O61" s="362">
        <v>1</v>
      </c>
      <c r="P61" s="362"/>
      <c r="R61" s="223">
        <f t="shared" si="0"/>
        <v>3</v>
      </c>
      <c r="S61" s="155"/>
    </row>
    <row r="62" spans="1:23" s="61" customFormat="1" ht="25.5" x14ac:dyDescent="0.25">
      <c r="A62" s="435"/>
      <c r="B62" s="48" t="s">
        <v>487</v>
      </c>
      <c r="C62" s="48" t="s">
        <v>68</v>
      </c>
      <c r="D62" s="47" t="s">
        <v>81</v>
      </c>
      <c r="E62" s="47" t="s">
        <v>25</v>
      </c>
      <c r="F62" s="47" t="s">
        <v>18</v>
      </c>
      <c r="G62" s="47"/>
      <c r="H62" s="47">
        <v>3</v>
      </c>
      <c r="I62" s="47"/>
      <c r="J62" s="363" t="s">
        <v>323</v>
      </c>
      <c r="K62" s="48" t="s">
        <v>303</v>
      </c>
      <c r="L62" s="331" t="s">
        <v>17</v>
      </c>
      <c r="M62" s="363" t="s">
        <v>26</v>
      </c>
      <c r="N62" s="73"/>
      <c r="O62" s="362"/>
      <c r="P62" s="362">
        <v>1</v>
      </c>
      <c r="R62" s="223"/>
      <c r="S62" s="155">
        <f t="shared" si="0"/>
        <v>3</v>
      </c>
    </row>
    <row r="63" spans="1:23" s="61" customFormat="1" x14ac:dyDescent="0.25">
      <c r="A63" s="434">
        <v>16</v>
      </c>
      <c r="B63" s="48" t="s">
        <v>83</v>
      </c>
      <c r="C63" s="48" t="s">
        <v>68</v>
      </c>
      <c r="D63" s="47" t="s">
        <v>81</v>
      </c>
      <c r="E63" s="47" t="s">
        <v>25</v>
      </c>
      <c r="F63" s="47" t="s">
        <v>17</v>
      </c>
      <c r="G63" s="47">
        <v>2</v>
      </c>
      <c r="H63" s="38"/>
      <c r="I63" s="47"/>
      <c r="J63" s="150" t="s">
        <v>563</v>
      </c>
      <c r="K63" s="425" t="s">
        <v>82</v>
      </c>
      <c r="L63" s="331" t="s">
        <v>17</v>
      </c>
      <c r="M63" s="363" t="s">
        <v>26</v>
      </c>
      <c r="N63" s="73"/>
      <c r="O63" s="362">
        <v>1</v>
      </c>
      <c r="P63" s="362"/>
      <c r="R63" s="223">
        <f t="shared" si="0"/>
        <v>2</v>
      </c>
      <c r="S63" s="155"/>
    </row>
    <row r="64" spans="1:23" s="61" customFormat="1" ht="15.75" customHeight="1" x14ac:dyDescent="0.25">
      <c r="A64" s="435"/>
      <c r="B64" s="48" t="s">
        <v>83</v>
      </c>
      <c r="C64" s="48" t="s">
        <v>68</v>
      </c>
      <c r="D64" s="47" t="s">
        <v>81</v>
      </c>
      <c r="E64" s="47" t="s">
        <v>25</v>
      </c>
      <c r="F64" s="47" t="s">
        <v>18</v>
      </c>
      <c r="G64" s="47"/>
      <c r="H64" s="47">
        <v>3</v>
      </c>
      <c r="I64" s="47"/>
      <c r="J64" s="150" t="s">
        <v>563</v>
      </c>
      <c r="K64" s="425" t="s">
        <v>82</v>
      </c>
      <c r="L64" s="331" t="s">
        <v>17</v>
      </c>
      <c r="M64" s="363" t="s">
        <v>26</v>
      </c>
      <c r="N64" s="73"/>
      <c r="O64" s="362"/>
      <c r="P64" s="362">
        <v>1</v>
      </c>
      <c r="R64" s="223"/>
      <c r="S64" s="155">
        <f t="shared" si="0"/>
        <v>3</v>
      </c>
    </row>
    <row r="65" spans="1:19" s="61" customFormat="1" ht="25.5" x14ac:dyDescent="0.25">
      <c r="A65" s="434">
        <v>17</v>
      </c>
      <c r="B65" s="48" t="s">
        <v>98</v>
      </c>
      <c r="C65" s="48" t="s">
        <v>68</v>
      </c>
      <c r="D65" s="47" t="s">
        <v>46</v>
      </c>
      <c r="E65" s="47" t="s">
        <v>25</v>
      </c>
      <c r="F65" s="47" t="s">
        <v>17</v>
      </c>
      <c r="G65" s="47">
        <v>1</v>
      </c>
      <c r="H65" s="38"/>
      <c r="I65" s="47"/>
      <c r="J65" s="251" t="s">
        <v>446</v>
      </c>
      <c r="K65" s="251" t="s">
        <v>82</v>
      </c>
      <c r="L65" s="331" t="s">
        <v>17</v>
      </c>
      <c r="M65" s="363" t="s">
        <v>26</v>
      </c>
      <c r="N65" s="73"/>
      <c r="O65" s="362">
        <v>1</v>
      </c>
      <c r="P65" s="362"/>
      <c r="R65" s="223">
        <f t="shared" ref="R65" si="27">G65*O65</f>
        <v>1</v>
      </c>
      <c r="S65" s="155"/>
    </row>
    <row r="66" spans="1:19" s="61" customFormat="1" ht="25.5" x14ac:dyDescent="0.25">
      <c r="A66" s="435"/>
      <c r="B66" s="48" t="s">
        <v>98</v>
      </c>
      <c r="C66" s="48" t="s">
        <v>68</v>
      </c>
      <c r="D66" s="47" t="s">
        <v>46</v>
      </c>
      <c r="E66" s="47" t="s">
        <v>25</v>
      </c>
      <c r="F66" s="47" t="s">
        <v>18</v>
      </c>
      <c r="G66" s="47"/>
      <c r="H66" s="38">
        <v>1</v>
      </c>
      <c r="I66" s="47"/>
      <c r="J66" s="251" t="s">
        <v>446</v>
      </c>
      <c r="K66" s="251" t="s">
        <v>82</v>
      </c>
      <c r="L66" s="331" t="s">
        <v>17</v>
      </c>
      <c r="M66" s="363" t="s">
        <v>26</v>
      </c>
      <c r="N66" s="73"/>
      <c r="O66" s="362"/>
      <c r="P66" s="362">
        <v>1</v>
      </c>
      <c r="R66" s="223"/>
      <c r="S66" s="155">
        <f t="shared" ref="S66" si="28">H66*P66</f>
        <v>1</v>
      </c>
    </row>
    <row r="67" spans="1:19" s="61" customFormat="1" x14ac:dyDescent="0.25">
      <c r="A67" s="447">
        <v>18</v>
      </c>
      <c r="B67" s="48" t="s">
        <v>48</v>
      </c>
      <c r="C67" s="48" t="s">
        <v>68</v>
      </c>
      <c r="D67" s="47" t="s">
        <v>81</v>
      </c>
      <c r="E67" s="47" t="s">
        <v>25</v>
      </c>
      <c r="F67" s="47" t="s">
        <v>17</v>
      </c>
      <c r="G67" s="47">
        <v>1</v>
      </c>
      <c r="H67" s="38"/>
      <c r="I67" s="47"/>
      <c r="J67" s="363" t="s">
        <v>472</v>
      </c>
      <c r="K67" s="363" t="s">
        <v>82</v>
      </c>
      <c r="L67" s="331" t="s">
        <v>17</v>
      </c>
      <c r="M67" s="363" t="s">
        <v>26</v>
      </c>
      <c r="N67" s="73"/>
      <c r="O67" s="362">
        <v>1</v>
      </c>
      <c r="P67" s="362"/>
      <c r="R67" s="223">
        <f t="shared" si="0"/>
        <v>1</v>
      </c>
      <c r="S67" s="155"/>
    </row>
    <row r="68" spans="1:19" s="61" customFormat="1" x14ac:dyDescent="0.25">
      <c r="A68" s="447"/>
      <c r="B68" s="48" t="s">
        <v>48</v>
      </c>
      <c r="C68" s="48" t="s">
        <v>68</v>
      </c>
      <c r="D68" s="47" t="s">
        <v>81</v>
      </c>
      <c r="E68" s="47" t="s">
        <v>25</v>
      </c>
      <c r="F68" s="47" t="s">
        <v>18</v>
      </c>
      <c r="G68" s="47"/>
      <c r="H68" s="47">
        <v>2</v>
      </c>
      <c r="I68" s="47"/>
      <c r="J68" s="363" t="s">
        <v>472</v>
      </c>
      <c r="K68" s="363" t="s">
        <v>82</v>
      </c>
      <c r="L68" s="331" t="s">
        <v>17</v>
      </c>
      <c r="M68" s="363" t="s">
        <v>26</v>
      </c>
      <c r="N68" s="73"/>
      <c r="O68" s="362"/>
      <c r="P68" s="362">
        <v>1</v>
      </c>
      <c r="R68" s="223"/>
      <c r="S68" s="155">
        <f t="shared" si="0"/>
        <v>2</v>
      </c>
    </row>
    <row r="69" spans="1:19" s="61" customFormat="1" ht="25.5" x14ac:dyDescent="0.25">
      <c r="A69" s="447"/>
      <c r="B69" s="48" t="s">
        <v>488</v>
      </c>
      <c r="C69" s="48" t="s">
        <v>68</v>
      </c>
      <c r="D69" s="47" t="s">
        <v>81</v>
      </c>
      <c r="E69" s="47" t="s">
        <v>25</v>
      </c>
      <c r="F69" s="47" t="s">
        <v>17</v>
      </c>
      <c r="G69" s="47">
        <v>1</v>
      </c>
      <c r="H69" s="38"/>
      <c r="I69" s="47"/>
      <c r="J69" s="55" t="s">
        <v>451</v>
      </c>
      <c r="K69" s="298" t="s">
        <v>28</v>
      </c>
      <c r="L69" s="73" t="s">
        <v>17</v>
      </c>
      <c r="M69" s="55" t="s">
        <v>26</v>
      </c>
      <c r="N69" s="73"/>
      <c r="O69" s="362">
        <v>0</v>
      </c>
      <c r="P69" s="362"/>
      <c r="R69" s="223">
        <f t="shared" si="0"/>
        <v>0</v>
      </c>
      <c r="S69" s="155"/>
    </row>
    <row r="70" spans="1:19" s="61" customFormat="1" ht="25.5" x14ac:dyDescent="0.25">
      <c r="A70" s="447"/>
      <c r="B70" s="48" t="s">
        <v>488</v>
      </c>
      <c r="C70" s="48" t="s">
        <v>68</v>
      </c>
      <c r="D70" s="47" t="s">
        <v>81</v>
      </c>
      <c r="E70" s="47" t="s">
        <v>25</v>
      </c>
      <c r="F70" s="47" t="s">
        <v>18</v>
      </c>
      <c r="G70" s="47"/>
      <c r="H70" s="47">
        <v>2</v>
      </c>
      <c r="I70" s="47"/>
      <c r="J70" s="55" t="s">
        <v>451</v>
      </c>
      <c r="K70" s="251" t="s">
        <v>28</v>
      </c>
      <c r="L70" s="122" t="s">
        <v>17</v>
      </c>
      <c r="M70" s="251" t="s">
        <v>26</v>
      </c>
      <c r="N70" s="73"/>
      <c r="O70" s="362"/>
      <c r="P70" s="362">
        <v>0</v>
      </c>
      <c r="R70" s="223"/>
      <c r="S70" s="155">
        <f t="shared" si="0"/>
        <v>0</v>
      </c>
    </row>
    <row r="71" spans="1:19" s="61" customFormat="1" ht="25.5" x14ac:dyDescent="0.25">
      <c r="A71" s="447"/>
      <c r="B71" s="48" t="s">
        <v>489</v>
      </c>
      <c r="C71" s="48" t="s">
        <v>68</v>
      </c>
      <c r="D71" s="47" t="s">
        <v>81</v>
      </c>
      <c r="E71" s="47" t="s">
        <v>25</v>
      </c>
      <c r="F71" s="47" t="s">
        <v>17</v>
      </c>
      <c r="G71" s="47">
        <v>1</v>
      </c>
      <c r="H71" s="38"/>
      <c r="I71" s="47"/>
      <c r="J71" s="251" t="s">
        <v>409</v>
      </c>
      <c r="K71" s="48" t="s">
        <v>43</v>
      </c>
      <c r="L71" s="331" t="s">
        <v>17</v>
      </c>
      <c r="M71" s="363" t="s">
        <v>26</v>
      </c>
      <c r="N71" s="73"/>
      <c r="O71" s="362">
        <v>0</v>
      </c>
      <c r="P71" s="362"/>
      <c r="R71" s="223">
        <f t="shared" si="0"/>
        <v>0</v>
      </c>
      <c r="S71" s="155"/>
    </row>
    <row r="72" spans="1:19" s="61" customFormat="1" ht="25.5" x14ac:dyDescent="0.25">
      <c r="A72" s="447"/>
      <c r="B72" s="48" t="s">
        <v>489</v>
      </c>
      <c r="C72" s="48" t="s">
        <v>68</v>
      </c>
      <c r="D72" s="47" t="s">
        <v>81</v>
      </c>
      <c r="E72" s="47" t="s">
        <v>25</v>
      </c>
      <c r="F72" s="47" t="s">
        <v>18</v>
      </c>
      <c r="G72" s="47"/>
      <c r="H72" s="47">
        <v>2</v>
      </c>
      <c r="I72" s="47"/>
      <c r="J72" s="251" t="s">
        <v>409</v>
      </c>
      <c r="K72" s="48" t="s">
        <v>43</v>
      </c>
      <c r="L72" s="331" t="s">
        <v>17</v>
      </c>
      <c r="M72" s="363" t="s">
        <v>26</v>
      </c>
      <c r="N72" s="73"/>
      <c r="O72" s="362"/>
      <c r="P72" s="362">
        <v>0</v>
      </c>
      <c r="R72" s="223"/>
      <c r="S72" s="155">
        <f t="shared" si="0"/>
        <v>0</v>
      </c>
    </row>
    <row r="73" spans="1:19" s="61" customFormat="1" x14ac:dyDescent="0.25">
      <c r="A73" s="447"/>
      <c r="B73" s="48" t="s">
        <v>441</v>
      </c>
      <c r="C73" s="48" t="s">
        <v>68</v>
      </c>
      <c r="D73" s="47" t="s">
        <v>81</v>
      </c>
      <c r="E73" s="47" t="s">
        <v>25</v>
      </c>
      <c r="F73" s="47" t="s">
        <v>17</v>
      </c>
      <c r="G73" s="47">
        <v>1</v>
      </c>
      <c r="H73" s="38"/>
      <c r="I73" s="47"/>
      <c r="J73" s="251" t="s">
        <v>407</v>
      </c>
      <c r="K73" s="48" t="s">
        <v>43</v>
      </c>
      <c r="L73" s="331" t="s">
        <v>17</v>
      </c>
      <c r="M73" s="363" t="s">
        <v>26</v>
      </c>
      <c r="N73" s="73"/>
      <c r="O73" s="362">
        <v>1</v>
      </c>
      <c r="P73" s="362"/>
      <c r="R73" s="223">
        <f t="shared" ref="R73" si="29">G73*O73</f>
        <v>1</v>
      </c>
      <c r="S73" s="155"/>
    </row>
    <row r="74" spans="1:19" s="61" customFormat="1" x14ac:dyDescent="0.25">
      <c r="A74" s="448"/>
      <c r="B74" s="48" t="s">
        <v>441</v>
      </c>
      <c r="C74" s="48" t="s">
        <v>68</v>
      </c>
      <c r="D74" s="47" t="s">
        <v>81</v>
      </c>
      <c r="E74" s="47" t="s">
        <v>25</v>
      </c>
      <c r="F74" s="47" t="s">
        <v>18</v>
      </c>
      <c r="G74" s="47"/>
      <c r="H74" s="47">
        <v>2</v>
      </c>
      <c r="I74" s="47"/>
      <c r="J74" s="251" t="s">
        <v>407</v>
      </c>
      <c r="K74" s="48" t="s">
        <v>43</v>
      </c>
      <c r="L74" s="331" t="s">
        <v>17</v>
      </c>
      <c r="M74" s="363" t="s">
        <v>26</v>
      </c>
      <c r="N74" s="73"/>
      <c r="O74" s="362"/>
      <c r="P74" s="362">
        <v>1</v>
      </c>
      <c r="R74" s="223"/>
      <c r="S74" s="155">
        <f t="shared" ref="S74" si="30">H74*P74</f>
        <v>2</v>
      </c>
    </row>
    <row r="75" spans="1:19" s="61" customFormat="1" ht="15.75" customHeight="1" x14ac:dyDescent="0.25">
      <c r="A75" s="446">
        <v>19</v>
      </c>
      <c r="B75" s="48" t="s">
        <v>84</v>
      </c>
      <c r="C75" s="48" t="s">
        <v>68</v>
      </c>
      <c r="D75" s="47" t="s">
        <v>85</v>
      </c>
      <c r="E75" s="47" t="s">
        <v>51</v>
      </c>
      <c r="F75" s="47" t="s">
        <v>17</v>
      </c>
      <c r="G75" s="47">
        <v>2</v>
      </c>
      <c r="H75" s="38"/>
      <c r="I75" s="47"/>
      <c r="J75" s="251" t="s">
        <v>469</v>
      </c>
      <c r="K75" s="365" t="s">
        <v>28</v>
      </c>
      <c r="L75" s="73" t="s">
        <v>17</v>
      </c>
      <c r="M75" s="74" t="s">
        <v>26</v>
      </c>
      <c r="N75" s="73"/>
      <c r="O75" s="362">
        <v>1</v>
      </c>
      <c r="P75" s="362"/>
      <c r="R75" s="223">
        <f t="shared" si="0"/>
        <v>2</v>
      </c>
      <c r="S75" s="155"/>
    </row>
    <row r="76" spans="1:19" s="61" customFormat="1" ht="25.5" x14ac:dyDescent="0.25">
      <c r="A76" s="448"/>
      <c r="B76" s="48" t="s">
        <v>84</v>
      </c>
      <c r="C76" s="48" t="s">
        <v>68</v>
      </c>
      <c r="D76" s="47" t="s">
        <v>85</v>
      </c>
      <c r="E76" s="47" t="s">
        <v>51</v>
      </c>
      <c r="F76" s="47" t="s">
        <v>18</v>
      </c>
      <c r="G76" s="47"/>
      <c r="H76" s="47">
        <v>3</v>
      </c>
      <c r="I76" s="47"/>
      <c r="J76" s="365" t="s">
        <v>477</v>
      </c>
      <c r="K76" s="48" t="s">
        <v>82</v>
      </c>
      <c r="L76" s="73" t="s">
        <v>17</v>
      </c>
      <c r="M76" s="74" t="s">
        <v>26</v>
      </c>
      <c r="N76" s="73"/>
      <c r="O76" s="362"/>
      <c r="P76" s="362">
        <v>1</v>
      </c>
      <c r="R76" s="223"/>
      <c r="S76" s="155">
        <f t="shared" si="0"/>
        <v>3</v>
      </c>
    </row>
    <row r="77" spans="1:19" s="61" customFormat="1" ht="25.5" x14ac:dyDescent="0.25">
      <c r="A77" s="434">
        <v>20</v>
      </c>
      <c r="B77" s="48" t="s">
        <v>490</v>
      </c>
      <c r="C77" s="48" t="s">
        <v>68</v>
      </c>
      <c r="D77" s="47" t="s">
        <v>85</v>
      </c>
      <c r="E77" s="47" t="s">
        <v>25</v>
      </c>
      <c r="F77" s="47" t="s">
        <v>17</v>
      </c>
      <c r="G77" s="47">
        <v>3</v>
      </c>
      <c r="H77" s="38"/>
      <c r="I77" s="47"/>
      <c r="J77" s="363" t="s">
        <v>459</v>
      </c>
      <c r="K77" s="48" t="s">
        <v>82</v>
      </c>
      <c r="L77" s="331" t="s">
        <v>17</v>
      </c>
      <c r="M77" s="363" t="s">
        <v>26</v>
      </c>
      <c r="N77" s="73"/>
      <c r="O77" s="362">
        <v>1</v>
      </c>
      <c r="P77" s="362"/>
      <c r="R77" s="223">
        <f t="shared" si="0"/>
        <v>3</v>
      </c>
      <c r="S77" s="155"/>
    </row>
    <row r="78" spans="1:19" s="61" customFormat="1" ht="25.5" x14ac:dyDescent="0.25">
      <c r="A78" s="435"/>
      <c r="B78" s="48" t="s">
        <v>490</v>
      </c>
      <c r="C78" s="48" t="s">
        <v>68</v>
      </c>
      <c r="D78" s="47" t="s">
        <v>85</v>
      </c>
      <c r="E78" s="47" t="s">
        <v>25</v>
      </c>
      <c r="F78" s="47" t="s">
        <v>18</v>
      </c>
      <c r="G78" s="47"/>
      <c r="H78" s="47">
        <v>4</v>
      </c>
      <c r="I78" s="47"/>
      <c r="J78" s="414" t="s">
        <v>459</v>
      </c>
      <c r="K78" s="412" t="s">
        <v>82</v>
      </c>
      <c r="L78" s="122" t="s">
        <v>17</v>
      </c>
      <c r="M78" s="134" t="s">
        <v>26</v>
      </c>
      <c r="N78" s="73"/>
      <c r="O78" s="362"/>
      <c r="P78" s="362">
        <v>1</v>
      </c>
      <c r="R78" s="223"/>
      <c r="S78" s="155">
        <f t="shared" si="0"/>
        <v>4</v>
      </c>
    </row>
    <row r="79" spans="1:19" s="61" customFormat="1" ht="24.75" customHeight="1" x14ac:dyDescent="0.25">
      <c r="A79" s="434">
        <v>21</v>
      </c>
      <c r="B79" s="48" t="s">
        <v>491</v>
      </c>
      <c r="C79" s="48" t="s">
        <v>68</v>
      </c>
      <c r="D79" s="47" t="s">
        <v>85</v>
      </c>
      <c r="E79" s="47" t="s">
        <v>25</v>
      </c>
      <c r="F79" s="47" t="s">
        <v>17</v>
      </c>
      <c r="G79" s="47">
        <v>3</v>
      </c>
      <c r="H79" s="38"/>
      <c r="I79" s="47"/>
      <c r="J79" s="48" t="s">
        <v>455</v>
      </c>
      <c r="K79" s="48" t="s">
        <v>28</v>
      </c>
      <c r="L79" s="47" t="s">
        <v>17</v>
      </c>
      <c r="M79" s="48" t="s">
        <v>26</v>
      </c>
      <c r="N79" s="73"/>
      <c r="O79" s="362">
        <v>1</v>
      </c>
      <c r="P79" s="362"/>
      <c r="R79" s="223">
        <f t="shared" si="0"/>
        <v>3</v>
      </c>
      <c r="S79" s="155"/>
    </row>
    <row r="80" spans="1:19" s="61" customFormat="1" ht="24.75" customHeight="1" x14ac:dyDescent="0.25">
      <c r="A80" s="435"/>
      <c r="B80" s="48" t="s">
        <v>491</v>
      </c>
      <c r="C80" s="48" t="s">
        <v>68</v>
      </c>
      <c r="D80" s="47" t="s">
        <v>85</v>
      </c>
      <c r="E80" s="47" t="s">
        <v>25</v>
      </c>
      <c r="F80" s="47" t="s">
        <v>18</v>
      </c>
      <c r="G80" s="47"/>
      <c r="H80" s="47">
        <v>3</v>
      </c>
      <c r="I80" s="47"/>
      <c r="J80" s="363" t="s">
        <v>323</v>
      </c>
      <c r="K80" s="48" t="s">
        <v>303</v>
      </c>
      <c r="L80" s="331" t="s">
        <v>17</v>
      </c>
      <c r="M80" s="363" t="s">
        <v>26</v>
      </c>
      <c r="N80" s="73"/>
      <c r="O80" s="362"/>
      <c r="P80" s="362">
        <v>1</v>
      </c>
      <c r="R80" s="223"/>
      <c r="S80" s="155">
        <f t="shared" si="0"/>
        <v>3</v>
      </c>
    </row>
    <row r="81" spans="1:19" s="61" customFormat="1" ht="15.75" customHeight="1" x14ac:dyDescent="0.25">
      <c r="A81" s="446">
        <v>22</v>
      </c>
      <c r="B81" s="48" t="s">
        <v>86</v>
      </c>
      <c r="C81" s="48" t="s">
        <v>68</v>
      </c>
      <c r="D81" s="47" t="s">
        <v>85</v>
      </c>
      <c r="E81" s="47" t="s">
        <v>25</v>
      </c>
      <c r="F81" s="47" t="s">
        <v>17</v>
      </c>
      <c r="G81" s="47">
        <v>2</v>
      </c>
      <c r="H81" s="38"/>
      <c r="I81" s="47"/>
      <c r="J81" s="55" t="s">
        <v>466</v>
      </c>
      <c r="K81" s="48" t="s">
        <v>564</v>
      </c>
      <c r="L81" s="73" t="s">
        <v>17</v>
      </c>
      <c r="M81" s="55" t="s">
        <v>26</v>
      </c>
      <c r="N81" s="73"/>
      <c r="O81" s="362">
        <v>1</v>
      </c>
      <c r="P81" s="362"/>
      <c r="R81" s="223">
        <f t="shared" si="0"/>
        <v>2</v>
      </c>
      <c r="S81" s="155"/>
    </row>
    <row r="82" spans="1:19" s="61" customFormat="1" ht="15.75" customHeight="1" x14ac:dyDescent="0.25">
      <c r="A82" s="448"/>
      <c r="B82" s="48" t="s">
        <v>86</v>
      </c>
      <c r="C82" s="48" t="s">
        <v>68</v>
      </c>
      <c r="D82" s="47" t="s">
        <v>85</v>
      </c>
      <c r="E82" s="47" t="s">
        <v>25</v>
      </c>
      <c r="F82" s="47" t="s">
        <v>18</v>
      </c>
      <c r="G82" s="47"/>
      <c r="H82" s="47">
        <v>2</v>
      </c>
      <c r="I82" s="47"/>
      <c r="J82" s="251" t="s">
        <v>323</v>
      </c>
      <c r="K82" s="48" t="s">
        <v>303</v>
      </c>
      <c r="L82" s="122" t="s">
        <v>17</v>
      </c>
      <c r="M82" s="251" t="s">
        <v>26</v>
      </c>
      <c r="N82" s="73"/>
      <c r="O82" s="362"/>
      <c r="P82" s="362">
        <v>1</v>
      </c>
      <c r="R82" s="223"/>
      <c r="S82" s="155">
        <f t="shared" si="0"/>
        <v>2</v>
      </c>
    </row>
    <row r="83" spans="1:19" s="61" customFormat="1" ht="15.75" customHeight="1" x14ac:dyDescent="0.25">
      <c r="A83" s="452">
        <v>23</v>
      </c>
      <c r="B83" s="48" t="s">
        <v>88</v>
      </c>
      <c r="C83" s="48" t="s">
        <v>68</v>
      </c>
      <c r="D83" s="47" t="s">
        <v>85</v>
      </c>
      <c r="E83" s="47" t="s">
        <v>25</v>
      </c>
      <c r="F83" s="47" t="s">
        <v>17</v>
      </c>
      <c r="G83" s="47">
        <v>1</v>
      </c>
      <c r="H83" s="38"/>
      <c r="I83" s="47"/>
      <c r="J83" s="55" t="s">
        <v>451</v>
      </c>
      <c r="K83" s="298" t="s">
        <v>28</v>
      </c>
      <c r="L83" s="73" t="s">
        <v>17</v>
      </c>
      <c r="M83" s="55" t="s">
        <v>26</v>
      </c>
      <c r="N83" s="73"/>
      <c r="O83" s="362">
        <v>0</v>
      </c>
      <c r="P83" s="362"/>
      <c r="R83" s="223">
        <f t="shared" si="0"/>
        <v>0</v>
      </c>
      <c r="S83" s="155"/>
    </row>
    <row r="84" spans="1:19" s="61" customFormat="1" ht="15.75" customHeight="1" x14ac:dyDescent="0.25">
      <c r="A84" s="447"/>
      <c r="B84" s="48" t="s">
        <v>88</v>
      </c>
      <c r="C84" s="48" t="s">
        <v>68</v>
      </c>
      <c r="D84" s="47" t="s">
        <v>85</v>
      </c>
      <c r="E84" s="47" t="s">
        <v>25</v>
      </c>
      <c r="F84" s="47" t="s">
        <v>18</v>
      </c>
      <c r="G84" s="47"/>
      <c r="H84" s="47">
        <v>2</v>
      </c>
      <c r="I84" s="47"/>
      <c r="J84" s="55" t="s">
        <v>451</v>
      </c>
      <c r="K84" s="251" t="s">
        <v>28</v>
      </c>
      <c r="L84" s="122" t="s">
        <v>17</v>
      </c>
      <c r="M84" s="251" t="s">
        <v>26</v>
      </c>
      <c r="N84" s="73"/>
      <c r="O84" s="362"/>
      <c r="P84" s="362">
        <v>0</v>
      </c>
      <c r="R84" s="223"/>
      <c r="S84" s="155">
        <f t="shared" si="0"/>
        <v>0</v>
      </c>
    </row>
    <row r="85" spans="1:19" s="61" customFormat="1" ht="38.25" x14ac:dyDescent="0.25">
      <c r="A85" s="447"/>
      <c r="B85" s="48" t="s">
        <v>539</v>
      </c>
      <c r="C85" s="48" t="s">
        <v>68</v>
      </c>
      <c r="D85" s="47" t="s">
        <v>85</v>
      </c>
      <c r="E85" s="47" t="s">
        <v>25</v>
      </c>
      <c r="F85" s="47" t="s">
        <v>17</v>
      </c>
      <c r="G85" s="47">
        <v>1</v>
      </c>
      <c r="H85" s="38"/>
      <c r="I85" s="47"/>
      <c r="J85" s="363" t="s">
        <v>540</v>
      </c>
      <c r="K85" s="425" t="s">
        <v>43</v>
      </c>
      <c r="L85" s="56" t="s">
        <v>37</v>
      </c>
      <c r="M85" s="48" t="s">
        <v>553</v>
      </c>
      <c r="N85" s="73"/>
      <c r="O85" s="362">
        <v>1</v>
      </c>
      <c r="P85" s="362"/>
      <c r="R85" s="223">
        <f t="shared" ref="R85" si="31">G85*O85</f>
        <v>1</v>
      </c>
      <c r="S85" s="155"/>
    </row>
    <row r="86" spans="1:19" s="61" customFormat="1" ht="38.25" x14ac:dyDescent="0.25">
      <c r="A86" s="447"/>
      <c r="B86" s="48" t="s">
        <v>539</v>
      </c>
      <c r="C86" s="48" t="s">
        <v>68</v>
      </c>
      <c r="D86" s="47" t="s">
        <v>85</v>
      </c>
      <c r="E86" s="47" t="s">
        <v>25</v>
      </c>
      <c r="F86" s="47" t="s">
        <v>18</v>
      </c>
      <c r="G86" s="47"/>
      <c r="H86" s="47">
        <v>2</v>
      </c>
      <c r="I86" s="47"/>
      <c r="J86" s="363" t="s">
        <v>540</v>
      </c>
      <c r="K86" s="425" t="s">
        <v>43</v>
      </c>
      <c r="L86" s="56" t="s">
        <v>37</v>
      </c>
      <c r="M86" s="48" t="s">
        <v>553</v>
      </c>
      <c r="N86" s="73"/>
      <c r="O86" s="362"/>
      <c r="P86" s="362">
        <v>1</v>
      </c>
      <c r="R86" s="223"/>
      <c r="S86" s="155">
        <f t="shared" ref="S86" si="32">H86*P86</f>
        <v>2</v>
      </c>
    </row>
    <row r="87" spans="1:19" s="61" customFormat="1" ht="15.75" customHeight="1" x14ac:dyDescent="0.25">
      <c r="A87" s="447"/>
      <c r="B87" s="48" t="s">
        <v>439</v>
      </c>
      <c r="C87" s="48" t="s">
        <v>68</v>
      </c>
      <c r="D87" s="47" t="s">
        <v>85</v>
      </c>
      <c r="E87" s="47" t="s">
        <v>25</v>
      </c>
      <c r="F87" s="47" t="s">
        <v>17</v>
      </c>
      <c r="G87" s="47">
        <v>1</v>
      </c>
      <c r="H87" s="38"/>
      <c r="I87" s="47"/>
      <c r="J87" s="363" t="s">
        <v>457</v>
      </c>
      <c r="K87" s="363" t="s">
        <v>43</v>
      </c>
      <c r="L87" s="47" t="s">
        <v>17</v>
      </c>
      <c r="M87" s="48" t="s">
        <v>26</v>
      </c>
      <c r="N87" s="73"/>
      <c r="O87" s="362">
        <v>0</v>
      </c>
      <c r="P87" s="362"/>
      <c r="R87" s="223">
        <f t="shared" ref="R87" si="33">G87*O87</f>
        <v>0</v>
      </c>
      <c r="S87" s="155"/>
    </row>
    <row r="88" spans="1:19" s="61" customFormat="1" ht="15.75" customHeight="1" x14ac:dyDescent="0.25">
      <c r="A88" s="447"/>
      <c r="B88" s="48" t="s">
        <v>439</v>
      </c>
      <c r="C88" s="48" t="s">
        <v>68</v>
      </c>
      <c r="D88" s="47" t="s">
        <v>85</v>
      </c>
      <c r="E88" s="47" t="s">
        <v>25</v>
      </c>
      <c r="F88" s="47" t="s">
        <v>18</v>
      </c>
      <c r="G88" s="47"/>
      <c r="H88" s="47">
        <v>2</v>
      </c>
      <c r="I88" s="47"/>
      <c r="J88" s="363" t="s">
        <v>457</v>
      </c>
      <c r="K88" s="363" t="s">
        <v>43</v>
      </c>
      <c r="L88" s="331" t="s">
        <v>17</v>
      </c>
      <c r="M88" s="363" t="s">
        <v>26</v>
      </c>
      <c r="N88" s="73"/>
      <c r="O88" s="362"/>
      <c r="P88" s="362">
        <v>0</v>
      </c>
      <c r="R88" s="223"/>
      <c r="S88" s="155">
        <f t="shared" ref="S88" si="34">H88*P88</f>
        <v>0</v>
      </c>
    </row>
    <row r="89" spans="1:19" s="61" customFormat="1" ht="15.75" customHeight="1" x14ac:dyDescent="0.25">
      <c r="A89" s="447"/>
      <c r="B89" s="48" t="s">
        <v>442</v>
      </c>
      <c r="C89" s="48" t="s">
        <v>68</v>
      </c>
      <c r="D89" s="47" t="s">
        <v>85</v>
      </c>
      <c r="E89" s="47" t="s">
        <v>25</v>
      </c>
      <c r="F89" s="47" t="s">
        <v>17</v>
      </c>
      <c r="G89" s="47">
        <v>1</v>
      </c>
      <c r="H89" s="38"/>
      <c r="I89" s="47"/>
      <c r="J89" s="251" t="s">
        <v>407</v>
      </c>
      <c r="K89" s="48" t="s">
        <v>43</v>
      </c>
      <c r="L89" s="331" t="s">
        <v>17</v>
      </c>
      <c r="M89" s="363" t="s">
        <v>26</v>
      </c>
      <c r="N89" s="73"/>
      <c r="O89" s="362">
        <v>1</v>
      </c>
      <c r="P89" s="362"/>
      <c r="R89" s="223">
        <f t="shared" ref="R89" si="35">G89*O89</f>
        <v>1</v>
      </c>
      <c r="S89" s="155"/>
    </row>
    <row r="90" spans="1:19" s="61" customFormat="1" ht="15.75" customHeight="1" x14ac:dyDescent="0.25">
      <c r="A90" s="448"/>
      <c r="B90" s="48" t="s">
        <v>442</v>
      </c>
      <c r="C90" s="48" t="s">
        <v>68</v>
      </c>
      <c r="D90" s="47" t="s">
        <v>85</v>
      </c>
      <c r="E90" s="47" t="s">
        <v>25</v>
      </c>
      <c r="F90" s="47" t="s">
        <v>18</v>
      </c>
      <c r="G90" s="47"/>
      <c r="H90" s="47">
        <v>2</v>
      </c>
      <c r="I90" s="47"/>
      <c r="J90" s="251" t="s">
        <v>407</v>
      </c>
      <c r="K90" s="48" t="s">
        <v>43</v>
      </c>
      <c r="L90" s="331" t="s">
        <v>17</v>
      </c>
      <c r="M90" s="363" t="s">
        <v>26</v>
      </c>
      <c r="N90" s="73"/>
      <c r="O90" s="362"/>
      <c r="P90" s="362">
        <v>1</v>
      </c>
      <c r="R90" s="223"/>
      <c r="S90" s="155">
        <f t="shared" ref="S90" si="36">H90*P90</f>
        <v>2</v>
      </c>
    </row>
    <row r="91" spans="1:19" ht="19.5" customHeight="1" x14ac:dyDescent="0.25">
      <c r="A91" s="355"/>
      <c r="B91" s="48"/>
      <c r="C91" s="48"/>
      <c r="D91" s="47"/>
      <c r="E91" s="47"/>
      <c r="F91" s="47"/>
      <c r="G91" s="47">
        <f>SUM(G14:G90)</f>
        <v>66</v>
      </c>
      <c r="H91" s="47">
        <f>SUM(H14:H90)</f>
        <v>84</v>
      </c>
      <c r="I91" s="47"/>
      <c r="J91" s="48"/>
      <c r="K91" s="48"/>
      <c r="L91" s="47"/>
      <c r="M91" s="48"/>
      <c r="N91" s="362"/>
      <c r="O91" s="362"/>
      <c r="P91" s="362"/>
      <c r="Q91" s="61"/>
      <c r="R91" s="67"/>
      <c r="S91" s="61"/>
    </row>
    <row r="92" spans="1:19" ht="21" x14ac:dyDescent="0.35">
      <c r="A92" s="6"/>
      <c r="B92" s="49"/>
      <c r="C92" s="49"/>
      <c r="D92" s="2"/>
      <c r="E92" s="2"/>
      <c r="F92" s="2"/>
      <c r="G92" s="50"/>
      <c r="H92" s="2"/>
      <c r="I92" s="2"/>
      <c r="J92" s="5"/>
      <c r="K92" s="7"/>
      <c r="L92" s="7"/>
      <c r="M92" s="7"/>
      <c r="N92" s="57"/>
      <c r="O92" s="57"/>
      <c r="P92" s="57"/>
      <c r="R92" s="57"/>
    </row>
    <row r="93" spans="1:19" ht="21" x14ac:dyDescent="0.25">
      <c r="A93" s="2"/>
      <c r="B93" s="233" t="s">
        <v>328</v>
      </c>
      <c r="C93" s="233"/>
      <c r="D93" s="234"/>
      <c r="E93" s="234"/>
      <c r="F93" s="234"/>
      <c r="G93" s="234"/>
      <c r="H93" s="234"/>
      <c r="I93" s="234"/>
      <c r="J93" s="235"/>
      <c r="K93" s="235"/>
      <c r="L93" s="2"/>
      <c r="M93" s="5"/>
      <c r="N93" s="58"/>
      <c r="O93" s="1"/>
      <c r="P93" s="1"/>
      <c r="R93" s="1"/>
    </row>
    <row r="94" spans="1:19" ht="21" x14ac:dyDescent="0.25">
      <c r="A94" s="2"/>
      <c r="B94" s="51"/>
      <c r="C94" s="52"/>
      <c r="D94" s="2"/>
      <c r="E94" s="2"/>
      <c r="F94" s="2"/>
      <c r="G94" s="50"/>
      <c r="H94" s="2"/>
      <c r="I94" s="2"/>
      <c r="J94" s="5"/>
      <c r="K94" s="5"/>
      <c r="L94" s="2"/>
      <c r="M94" s="5"/>
      <c r="N94" s="58"/>
      <c r="O94" s="1"/>
      <c r="P94" s="1"/>
      <c r="R94" s="1"/>
    </row>
    <row r="95" spans="1:19" ht="21" x14ac:dyDescent="0.25">
      <c r="A95" s="2"/>
      <c r="B95" s="228" t="s">
        <v>0</v>
      </c>
      <c r="C95" s="5"/>
      <c r="D95" s="2"/>
      <c r="E95" s="8"/>
      <c r="F95" s="8"/>
      <c r="G95" s="8"/>
      <c r="H95" s="2"/>
      <c r="I95" s="2"/>
      <c r="J95" s="5"/>
      <c r="K95" s="5"/>
      <c r="L95" s="2"/>
      <c r="M95" s="5"/>
    </row>
    <row r="96" spans="1:19" x14ac:dyDescent="0.25">
      <c r="A96" s="2"/>
      <c r="B96" s="5"/>
      <c r="C96" s="5"/>
      <c r="D96" s="2"/>
      <c r="E96" s="2"/>
      <c r="F96" s="2"/>
      <c r="G96" s="2"/>
      <c r="H96" s="2"/>
      <c r="I96" s="2"/>
      <c r="J96" s="5"/>
      <c r="K96" s="5"/>
      <c r="L96" s="2"/>
      <c r="M96" s="5"/>
    </row>
    <row r="97" spans="1:19" ht="39.6" customHeight="1" thickBot="1" x14ac:dyDescent="0.3">
      <c r="A97" s="506" t="s">
        <v>421</v>
      </c>
      <c r="B97" s="486" t="s">
        <v>2</v>
      </c>
      <c r="C97" s="493" t="s">
        <v>182</v>
      </c>
      <c r="D97" s="479" t="s">
        <v>418</v>
      </c>
      <c r="E97" s="479" t="s">
        <v>417</v>
      </c>
      <c r="F97" s="483" t="s">
        <v>416</v>
      </c>
      <c r="G97" s="500" t="s">
        <v>415</v>
      </c>
      <c r="H97" s="501"/>
      <c r="I97" s="502"/>
      <c r="J97" s="486" t="s">
        <v>8</v>
      </c>
      <c r="K97" s="216" t="s">
        <v>9</v>
      </c>
      <c r="L97" s="215" t="s">
        <v>10</v>
      </c>
      <c r="M97" s="368" t="s">
        <v>11</v>
      </c>
      <c r="N97" s="217" t="s">
        <v>12</v>
      </c>
      <c r="O97" s="495" t="s">
        <v>413</v>
      </c>
      <c r="P97" s="496"/>
      <c r="Q97" s="497"/>
      <c r="R97" s="484" t="s">
        <v>414</v>
      </c>
      <c r="S97" s="485"/>
    </row>
    <row r="98" spans="1:19" ht="24.75" customHeight="1" x14ac:dyDescent="0.25">
      <c r="A98" s="507"/>
      <c r="B98" s="511"/>
      <c r="C98" s="494"/>
      <c r="D98" s="505"/>
      <c r="E98" s="448"/>
      <c r="F98" s="448"/>
      <c r="G98" s="218" t="s">
        <v>17</v>
      </c>
      <c r="H98" s="218" t="s">
        <v>18</v>
      </c>
      <c r="I98" s="218" t="s">
        <v>19</v>
      </c>
      <c r="J98" s="492"/>
      <c r="K98" s="219"/>
      <c r="L98" s="220"/>
      <c r="M98" s="371" t="s">
        <v>20</v>
      </c>
      <c r="N98" s="221" t="s">
        <v>21</v>
      </c>
      <c r="O98" s="218" t="s">
        <v>17</v>
      </c>
      <c r="P98" s="218" t="s">
        <v>18</v>
      </c>
      <c r="Q98" s="218" t="s">
        <v>19</v>
      </c>
      <c r="R98" s="218" t="s">
        <v>17</v>
      </c>
      <c r="S98" s="218" t="s">
        <v>18</v>
      </c>
    </row>
    <row r="99" spans="1:19" ht="15.75" customHeight="1" x14ac:dyDescent="0.25">
      <c r="A99" s="434">
        <v>1</v>
      </c>
      <c r="B99" s="363" t="s">
        <v>27</v>
      </c>
      <c r="C99" s="48" t="s">
        <v>23</v>
      </c>
      <c r="D99" s="47" t="s">
        <v>24</v>
      </c>
      <c r="E99" s="47" t="s">
        <v>25</v>
      </c>
      <c r="F99" s="47" t="s">
        <v>17</v>
      </c>
      <c r="G99" s="47">
        <v>2</v>
      </c>
      <c r="H99" s="47"/>
      <c r="I99" s="47"/>
      <c r="J99" s="251" t="s">
        <v>446</v>
      </c>
      <c r="K99" s="251" t="s">
        <v>82</v>
      </c>
      <c r="L99" s="331" t="s">
        <v>17</v>
      </c>
      <c r="M99" s="363" t="s">
        <v>26</v>
      </c>
      <c r="N99" s="72"/>
      <c r="O99" s="47">
        <v>1</v>
      </c>
      <c r="P99" s="47"/>
      <c r="Q99" s="47"/>
      <c r="R99" s="222">
        <f>G99*O99</f>
        <v>2</v>
      </c>
      <c r="S99" s="155"/>
    </row>
    <row r="100" spans="1:19" ht="15.75" customHeight="1" x14ac:dyDescent="0.25">
      <c r="A100" s="435"/>
      <c r="B100" s="363" t="s">
        <v>27</v>
      </c>
      <c r="C100" s="48" t="s">
        <v>23</v>
      </c>
      <c r="D100" s="47" t="s">
        <v>24</v>
      </c>
      <c r="E100" s="47" t="s">
        <v>25</v>
      </c>
      <c r="F100" s="47" t="s">
        <v>18</v>
      </c>
      <c r="G100" s="47"/>
      <c r="H100" s="47">
        <v>2</v>
      </c>
      <c r="I100" s="47"/>
      <c r="J100" s="251" t="s">
        <v>446</v>
      </c>
      <c r="K100" s="251" t="s">
        <v>82</v>
      </c>
      <c r="L100" s="331" t="s">
        <v>17</v>
      </c>
      <c r="M100" s="363" t="s">
        <v>26</v>
      </c>
      <c r="N100" s="72"/>
      <c r="O100" s="47"/>
      <c r="P100" s="47">
        <v>1</v>
      </c>
      <c r="Q100" s="47"/>
      <c r="R100" s="222"/>
      <c r="S100" s="155">
        <f>H100*P100+I100*Q100</f>
        <v>2</v>
      </c>
    </row>
    <row r="101" spans="1:19" ht="15.75" customHeight="1" x14ac:dyDescent="0.25">
      <c r="A101" s="434">
        <v>2</v>
      </c>
      <c r="B101" s="48" t="s">
        <v>22</v>
      </c>
      <c r="C101" s="48" t="s">
        <v>23</v>
      </c>
      <c r="D101" s="47" t="s">
        <v>24</v>
      </c>
      <c r="E101" s="47" t="s">
        <v>25</v>
      </c>
      <c r="F101" s="47" t="s">
        <v>17</v>
      </c>
      <c r="G101" s="47">
        <v>3</v>
      </c>
      <c r="H101" s="47"/>
      <c r="I101" s="47"/>
      <c r="J101" s="48" t="s">
        <v>447</v>
      </c>
      <c r="K101" s="251" t="s">
        <v>28</v>
      </c>
      <c r="L101" s="47" t="s">
        <v>17</v>
      </c>
      <c r="M101" s="48" t="s">
        <v>26</v>
      </c>
      <c r="N101" s="72"/>
      <c r="O101" s="47">
        <v>1</v>
      </c>
      <c r="P101" s="47"/>
      <c r="Q101" s="47"/>
      <c r="R101" s="222">
        <f>G101*O101</f>
        <v>3</v>
      </c>
      <c r="S101" s="155"/>
    </row>
    <row r="102" spans="1:19" ht="15.75" customHeight="1" x14ac:dyDescent="0.25">
      <c r="A102" s="435"/>
      <c r="B102" s="48" t="s">
        <v>22</v>
      </c>
      <c r="C102" s="48" t="s">
        <v>23</v>
      </c>
      <c r="D102" s="47" t="s">
        <v>24</v>
      </c>
      <c r="E102" s="47" t="s">
        <v>25</v>
      </c>
      <c r="F102" s="47" t="s">
        <v>18</v>
      </c>
      <c r="G102" s="47"/>
      <c r="H102" s="47">
        <v>3</v>
      </c>
      <c r="I102" s="47"/>
      <c r="J102" s="48" t="s">
        <v>447</v>
      </c>
      <c r="K102" s="251" t="s">
        <v>28</v>
      </c>
      <c r="L102" s="47" t="s">
        <v>17</v>
      </c>
      <c r="M102" s="48" t="s">
        <v>26</v>
      </c>
      <c r="N102" s="72"/>
      <c r="O102" s="47"/>
      <c r="P102" s="47">
        <v>1</v>
      </c>
      <c r="Q102" s="47"/>
      <c r="R102" s="222"/>
      <c r="S102" s="155">
        <f>H102*P102+I102*Q102</f>
        <v>3</v>
      </c>
    </row>
    <row r="103" spans="1:19" ht="15.75" customHeight="1" x14ac:dyDescent="0.25">
      <c r="A103" s="364">
        <v>3</v>
      </c>
      <c r="B103" s="363" t="s">
        <v>53</v>
      </c>
      <c r="C103" s="363" t="s">
        <v>23</v>
      </c>
      <c r="D103" s="47" t="s">
        <v>24</v>
      </c>
      <c r="E103" s="331" t="s">
        <v>25</v>
      </c>
      <c r="F103" s="331" t="s">
        <v>17</v>
      </c>
      <c r="G103" s="331">
        <v>2</v>
      </c>
      <c r="H103" s="331"/>
      <c r="I103" s="331"/>
      <c r="J103" s="416"/>
      <c r="K103" s="48"/>
      <c r="L103" s="75"/>
      <c r="M103" s="251"/>
      <c r="N103" s="362"/>
      <c r="O103" s="47">
        <v>1</v>
      </c>
      <c r="P103" s="362"/>
      <c r="Q103" s="61"/>
      <c r="R103" s="222">
        <f>G103*O103</f>
        <v>2</v>
      </c>
      <c r="S103" s="155"/>
    </row>
    <row r="104" spans="1:19" ht="25.5" x14ac:dyDescent="0.25">
      <c r="A104" s="434">
        <v>4</v>
      </c>
      <c r="B104" s="48" t="s">
        <v>30</v>
      </c>
      <c r="C104" s="48" t="s">
        <v>23</v>
      </c>
      <c r="D104" s="47" t="s">
        <v>24</v>
      </c>
      <c r="E104" s="47" t="s">
        <v>25</v>
      </c>
      <c r="F104" s="47" t="s">
        <v>17</v>
      </c>
      <c r="G104" s="47">
        <v>2</v>
      </c>
      <c r="H104" s="47"/>
      <c r="I104" s="47"/>
      <c r="J104" s="150" t="s">
        <v>448</v>
      </c>
      <c r="K104" s="251" t="s">
        <v>28</v>
      </c>
      <c r="L104" s="56" t="s">
        <v>37</v>
      </c>
      <c r="M104" s="48" t="s">
        <v>423</v>
      </c>
      <c r="N104" s="72"/>
      <c r="O104" s="47">
        <v>1</v>
      </c>
      <c r="P104" s="47"/>
      <c r="Q104" s="47"/>
      <c r="R104" s="222">
        <f>G104*O104</f>
        <v>2</v>
      </c>
      <c r="S104" s="155"/>
    </row>
    <row r="105" spans="1:19" ht="15.75" customHeight="1" x14ac:dyDescent="0.25">
      <c r="A105" s="435"/>
      <c r="B105" s="48" t="s">
        <v>30</v>
      </c>
      <c r="C105" s="48" t="s">
        <v>23</v>
      </c>
      <c r="D105" s="47" t="s">
        <v>24</v>
      </c>
      <c r="E105" s="47" t="s">
        <v>25</v>
      </c>
      <c r="F105" s="47" t="s">
        <v>18</v>
      </c>
      <c r="G105" s="47"/>
      <c r="H105" s="47">
        <v>3</v>
      </c>
      <c r="I105" s="47"/>
      <c r="J105" s="33" t="s">
        <v>551</v>
      </c>
      <c r="K105" s="48" t="s">
        <v>195</v>
      </c>
      <c r="L105" s="34" t="s">
        <v>17</v>
      </c>
      <c r="M105" s="48" t="s">
        <v>26</v>
      </c>
      <c r="N105" s="72"/>
      <c r="O105" s="47"/>
      <c r="P105" s="47">
        <v>1</v>
      </c>
      <c r="Q105" s="47"/>
      <c r="R105" s="222"/>
      <c r="S105" s="155">
        <f>H105*P105+I105*Q105</f>
        <v>3</v>
      </c>
    </row>
    <row r="106" spans="1:19" x14ac:dyDescent="0.25">
      <c r="A106" s="434">
        <v>5</v>
      </c>
      <c r="B106" s="48" t="s">
        <v>181</v>
      </c>
      <c r="C106" s="48" t="s">
        <v>23</v>
      </c>
      <c r="D106" s="47" t="s">
        <v>24</v>
      </c>
      <c r="E106" s="47" t="s">
        <v>25</v>
      </c>
      <c r="F106" s="47" t="s">
        <v>17</v>
      </c>
      <c r="G106" s="47">
        <v>1</v>
      </c>
      <c r="H106" s="38"/>
      <c r="I106" s="47"/>
      <c r="J106" s="363" t="s">
        <v>449</v>
      </c>
      <c r="K106" s="251" t="s">
        <v>28</v>
      </c>
      <c r="L106" s="47" t="s">
        <v>17</v>
      </c>
      <c r="M106" s="48" t="s">
        <v>26</v>
      </c>
      <c r="N106" s="72"/>
      <c r="O106" s="47">
        <v>1</v>
      </c>
      <c r="P106" s="47"/>
      <c r="Q106" s="47"/>
      <c r="R106" s="222">
        <f>G106*O106</f>
        <v>1</v>
      </c>
      <c r="S106" s="155"/>
    </row>
    <row r="107" spans="1:19" x14ac:dyDescent="0.25">
      <c r="A107" s="435"/>
      <c r="B107" s="48" t="s">
        <v>181</v>
      </c>
      <c r="C107" s="48" t="s">
        <v>23</v>
      </c>
      <c r="D107" s="47" t="s">
        <v>24</v>
      </c>
      <c r="E107" s="47" t="s">
        <v>25</v>
      </c>
      <c r="F107" s="47" t="s">
        <v>18</v>
      </c>
      <c r="G107" s="47"/>
      <c r="H107" s="47">
        <v>2</v>
      </c>
      <c r="I107" s="47"/>
      <c r="J107" s="363" t="s">
        <v>449</v>
      </c>
      <c r="K107" s="251" t="s">
        <v>28</v>
      </c>
      <c r="L107" s="47" t="s">
        <v>17</v>
      </c>
      <c r="M107" s="48" t="s">
        <v>26</v>
      </c>
      <c r="N107" s="72"/>
      <c r="O107" s="47"/>
      <c r="P107" s="47">
        <v>1</v>
      </c>
      <c r="Q107" s="47"/>
      <c r="R107" s="222"/>
      <c r="S107" s="155">
        <f>H107*P107+I107*Q107</f>
        <v>2</v>
      </c>
    </row>
    <row r="108" spans="1:19" x14ac:dyDescent="0.25">
      <c r="A108" s="435"/>
      <c r="B108" s="48" t="s">
        <v>180</v>
      </c>
      <c r="C108" s="48" t="s">
        <v>23</v>
      </c>
      <c r="D108" s="47" t="s">
        <v>24</v>
      </c>
      <c r="E108" s="47" t="s">
        <v>25</v>
      </c>
      <c r="F108" s="47" t="s">
        <v>17</v>
      </c>
      <c r="G108" s="47">
        <v>1</v>
      </c>
      <c r="H108" s="38"/>
      <c r="I108" s="47"/>
      <c r="J108" s="363"/>
      <c r="K108" s="363"/>
      <c r="L108" s="331"/>
      <c r="M108" s="363"/>
      <c r="N108" s="72"/>
      <c r="O108" s="47">
        <v>0</v>
      </c>
      <c r="P108" s="47"/>
      <c r="Q108" s="47"/>
      <c r="R108" s="222">
        <f>G108*O108</f>
        <v>0</v>
      </c>
      <c r="S108" s="155"/>
    </row>
    <row r="109" spans="1:19" x14ac:dyDescent="0.25">
      <c r="A109" s="435"/>
      <c r="B109" s="48" t="s">
        <v>180</v>
      </c>
      <c r="C109" s="48" t="s">
        <v>23</v>
      </c>
      <c r="D109" s="47" t="s">
        <v>24</v>
      </c>
      <c r="E109" s="47" t="s">
        <v>25</v>
      </c>
      <c r="F109" s="47" t="s">
        <v>18</v>
      </c>
      <c r="G109" s="47"/>
      <c r="H109" s="47">
        <v>2</v>
      </c>
      <c r="I109" s="47"/>
      <c r="J109" s="363"/>
      <c r="K109" s="363"/>
      <c r="L109" s="331"/>
      <c r="M109" s="363"/>
      <c r="N109" s="72"/>
      <c r="O109" s="47"/>
      <c r="P109" s="47">
        <v>0</v>
      </c>
      <c r="Q109" s="47"/>
      <c r="R109" s="222"/>
      <c r="S109" s="155">
        <f>H109*P109+I109*Q109</f>
        <v>0</v>
      </c>
    </row>
    <row r="110" spans="1:19" ht="15.75" customHeight="1" x14ac:dyDescent="0.25">
      <c r="A110" s="435"/>
      <c r="B110" s="48" t="s">
        <v>424</v>
      </c>
      <c r="C110" s="48" t="s">
        <v>23</v>
      </c>
      <c r="D110" s="47" t="s">
        <v>24</v>
      </c>
      <c r="E110" s="47" t="s">
        <v>25</v>
      </c>
      <c r="F110" s="47" t="s">
        <v>17</v>
      </c>
      <c r="G110" s="47">
        <v>1</v>
      </c>
      <c r="H110" s="38"/>
      <c r="I110" s="47"/>
      <c r="J110" s="363"/>
      <c r="K110" s="363"/>
      <c r="L110" s="331"/>
      <c r="M110" s="363"/>
      <c r="N110" s="72"/>
      <c r="O110" s="47">
        <v>0</v>
      </c>
      <c r="P110" s="47"/>
      <c r="Q110" s="47"/>
      <c r="R110" s="222">
        <f>G110*O110</f>
        <v>0</v>
      </c>
      <c r="S110" s="155"/>
    </row>
    <row r="111" spans="1:19" ht="15.75" customHeight="1" x14ac:dyDescent="0.25">
      <c r="A111" s="435"/>
      <c r="B111" s="48" t="s">
        <v>424</v>
      </c>
      <c r="C111" s="48" t="s">
        <v>23</v>
      </c>
      <c r="D111" s="47" t="s">
        <v>24</v>
      </c>
      <c r="E111" s="47" t="s">
        <v>25</v>
      </c>
      <c r="F111" s="47" t="s">
        <v>18</v>
      </c>
      <c r="G111" s="47"/>
      <c r="H111" s="47">
        <v>2</v>
      </c>
      <c r="I111" s="47"/>
      <c r="J111" s="363"/>
      <c r="K111" s="363"/>
      <c r="L111" s="331"/>
      <c r="M111" s="363"/>
      <c r="N111" s="72"/>
      <c r="O111" s="47"/>
      <c r="P111" s="47">
        <v>0</v>
      </c>
      <c r="Q111" s="47"/>
      <c r="R111" s="222"/>
      <c r="S111" s="155">
        <f>H111*P111+I111*Q111</f>
        <v>0</v>
      </c>
    </row>
    <row r="112" spans="1:19" ht="15.75" customHeight="1" x14ac:dyDescent="0.25">
      <c r="A112" s="435"/>
      <c r="B112" s="48" t="s">
        <v>425</v>
      </c>
      <c r="C112" s="48" t="s">
        <v>23</v>
      </c>
      <c r="D112" s="47" t="s">
        <v>24</v>
      </c>
      <c r="E112" s="47" t="s">
        <v>25</v>
      </c>
      <c r="F112" s="47" t="s">
        <v>17</v>
      </c>
      <c r="G112" s="47">
        <v>1</v>
      </c>
      <c r="H112" s="38"/>
      <c r="I112" s="47"/>
      <c r="J112" s="363"/>
      <c r="K112" s="363"/>
      <c r="L112" s="331"/>
      <c r="M112" s="363"/>
      <c r="N112" s="72"/>
      <c r="O112" s="47">
        <v>0</v>
      </c>
      <c r="P112" s="47"/>
      <c r="Q112" s="47"/>
      <c r="R112" s="222">
        <f>G112*O112</f>
        <v>0</v>
      </c>
      <c r="S112" s="155"/>
    </row>
    <row r="113" spans="1:19" ht="15.75" customHeight="1" x14ac:dyDescent="0.25">
      <c r="A113" s="435"/>
      <c r="B113" s="48" t="s">
        <v>427</v>
      </c>
      <c r="C113" s="48" t="s">
        <v>23</v>
      </c>
      <c r="D113" s="47" t="s">
        <v>24</v>
      </c>
      <c r="E113" s="47" t="s">
        <v>25</v>
      </c>
      <c r="F113" s="47" t="s">
        <v>18</v>
      </c>
      <c r="G113" s="47"/>
      <c r="H113" s="47">
        <v>2</v>
      </c>
      <c r="I113" s="47"/>
      <c r="J113" s="363"/>
      <c r="K113" s="363"/>
      <c r="L113" s="331"/>
      <c r="M113" s="363"/>
      <c r="N113" s="72"/>
      <c r="O113" s="47"/>
      <c r="P113" s="47">
        <v>0</v>
      </c>
      <c r="Q113" s="47"/>
      <c r="R113" s="222"/>
      <c r="S113" s="155">
        <f>H113*P113+I113*Q113</f>
        <v>0</v>
      </c>
    </row>
    <row r="114" spans="1:19" ht="15.75" customHeight="1" x14ac:dyDescent="0.25">
      <c r="A114" s="434">
        <v>6</v>
      </c>
      <c r="B114" s="48" t="s">
        <v>33</v>
      </c>
      <c r="C114" s="48" t="s">
        <v>23</v>
      </c>
      <c r="D114" s="47" t="s">
        <v>24</v>
      </c>
      <c r="E114" s="47" t="s">
        <v>25</v>
      </c>
      <c r="F114" s="47" t="s">
        <v>17</v>
      </c>
      <c r="G114" s="47">
        <v>1</v>
      </c>
      <c r="H114" s="38"/>
      <c r="I114" s="47"/>
      <c r="J114" s="251" t="s">
        <v>409</v>
      </c>
      <c r="K114" s="48" t="s">
        <v>43</v>
      </c>
      <c r="L114" s="331" t="s">
        <v>17</v>
      </c>
      <c r="M114" s="363" t="s">
        <v>26</v>
      </c>
      <c r="N114" s="72"/>
      <c r="O114" s="47">
        <v>0</v>
      </c>
      <c r="P114" s="47"/>
      <c r="Q114" s="47"/>
      <c r="R114" s="222">
        <f>G114*O114</f>
        <v>0</v>
      </c>
      <c r="S114" s="155"/>
    </row>
    <row r="115" spans="1:19" ht="15.75" customHeight="1" x14ac:dyDescent="0.25">
      <c r="A115" s="435"/>
      <c r="B115" s="48" t="s">
        <v>33</v>
      </c>
      <c r="C115" s="48" t="s">
        <v>23</v>
      </c>
      <c r="D115" s="47" t="s">
        <v>24</v>
      </c>
      <c r="E115" s="47" t="s">
        <v>25</v>
      </c>
      <c r="F115" s="47" t="s">
        <v>18</v>
      </c>
      <c r="G115" s="47"/>
      <c r="H115" s="47">
        <v>2</v>
      </c>
      <c r="I115" s="47"/>
      <c r="J115" s="251" t="s">
        <v>409</v>
      </c>
      <c r="K115" s="48" t="s">
        <v>43</v>
      </c>
      <c r="L115" s="331" t="s">
        <v>17</v>
      </c>
      <c r="M115" s="363" t="s">
        <v>26</v>
      </c>
      <c r="N115" s="72"/>
      <c r="O115" s="47"/>
      <c r="P115" s="47">
        <v>0</v>
      </c>
      <c r="Q115" s="47"/>
      <c r="R115" s="222"/>
      <c r="S115" s="155">
        <f>H115*P115+I115*Q115</f>
        <v>0</v>
      </c>
    </row>
    <row r="116" spans="1:19" ht="15.75" customHeight="1" x14ac:dyDescent="0.25">
      <c r="A116" s="435"/>
      <c r="B116" s="48" t="s">
        <v>426</v>
      </c>
      <c r="C116" s="48" t="s">
        <v>23</v>
      </c>
      <c r="D116" s="47" t="s">
        <v>24</v>
      </c>
      <c r="E116" s="47" t="s">
        <v>25</v>
      </c>
      <c r="F116" s="47" t="s">
        <v>17</v>
      </c>
      <c r="G116" s="47">
        <v>1</v>
      </c>
      <c r="H116" s="47"/>
      <c r="I116" s="47"/>
      <c r="J116" s="251" t="s">
        <v>407</v>
      </c>
      <c r="K116" s="363" t="s">
        <v>43</v>
      </c>
      <c r="L116" s="331" t="s">
        <v>17</v>
      </c>
      <c r="M116" s="363" t="s">
        <v>26</v>
      </c>
      <c r="N116" s="72"/>
      <c r="O116" s="47">
        <v>1</v>
      </c>
      <c r="P116" s="47"/>
      <c r="Q116" s="47"/>
      <c r="R116" s="222">
        <f>G116*O116</f>
        <v>1</v>
      </c>
      <c r="S116" s="155"/>
    </row>
    <row r="117" spans="1:19" ht="15.75" customHeight="1" x14ac:dyDescent="0.25">
      <c r="A117" s="435"/>
      <c r="B117" s="48" t="s">
        <v>426</v>
      </c>
      <c r="C117" s="48" t="s">
        <v>23</v>
      </c>
      <c r="D117" s="47" t="s">
        <v>24</v>
      </c>
      <c r="E117" s="47" t="s">
        <v>25</v>
      </c>
      <c r="F117" s="47" t="s">
        <v>18</v>
      </c>
      <c r="G117" s="47"/>
      <c r="H117" s="47">
        <v>2</v>
      </c>
      <c r="I117" s="47"/>
      <c r="J117" s="251" t="s">
        <v>407</v>
      </c>
      <c r="K117" s="363" t="s">
        <v>43</v>
      </c>
      <c r="L117" s="331" t="s">
        <v>17</v>
      </c>
      <c r="M117" s="363" t="s">
        <v>26</v>
      </c>
      <c r="N117" s="72"/>
      <c r="O117" s="47"/>
      <c r="P117" s="47">
        <v>1</v>
      </c>
      <c r="Q117" s="47"/>
      <c r="R117" s="222"/>
      <c r="S117" s="155">
        <f>H117*P117+I117*Q117</f>
        <v>2</v>
      </c>
    </row>
    <row r="118" spans="1:19" ht="15.75" customHeight="1" x14ac:dyDescent="0.25">
      <c r="A118" s="435"/>
      <c r="B118" s="48" t="s">
        <v>428</v>
      </c>
      <c r="C118" s="48" t="s">
        <v>23</v>
      </c>
      <c r="D118" s="47" t="s">
        <v>24</v>
      </c>
      <c r="E118" s="47" t="s">
        <v>25</v>
      </c>
      <c r="F118" s="47" t="s">
        <v>17</v>
      </c>
      <c r="G118" s="47">
        <v>1</v>
      </c>
      <c r="H118" s="47"/>
      <c r="I118" s="47"/>
      <c r="J118" s="133" t="s">
        <v>450</v>
      </c>
      <c r="K118" s="48" t="s">
        <v>564</v>
      </c>
      <c r="L118" s="47" t="s">
        <v>17</v>
      </c>
      <c r="M118" s="359" t="s">
        <v>26</v>
      </c>
      <c r="N118" s="72"/>
      <c r="O118" s="47">
        <v>1</v>
      </c>
      <c r="P118" s="47"/>
      <c r="Q118" s="47"/>
      <c r="R118" s="222">
        <f>G118*O118</f>
        <v>1</v>
      </c>
      <c r="S118" s="155"/>
    </row>
    <row r="119" spans="1:19" ht="15.75" customHeight="1" x14ac:dyDescent="0.25">
      <c r="A119" s="435"/>
      <c r="B119" s="48" t="s">
        <v>428</v>
      </c>
      <c r="C119" s="48" t="s">
        <v>23</v>
      </c>
      <c r="D119" s="47" t="s">
        <v>24</v>
      </c>
      <c r="E119" s="47" t="s">
        <v>25</v>
      </c>
      <c r="F119" s="47" t="s">
        <v>18</v>
      </c>
      <c r="G119" s="47"/>
      <c r="H119" s="47">
        <v>2</v>
      </c>
      <c r="I119" s="47"/>
      <c r="J119" s="133" t="s">
        <v>450</v>
      </c>
      <c r="K119" s="48" t="s">
        <v>564</v>
      </c>
      <c r="L119" s="47" t="s">
        <v>17</v>
      </c>
      <c r="M119" s="359" t="s">
        <v>26</v>
      </c>
      <c r="N119" s="72"/>
      <c r="O119" s="47"/>
      <c r="P119" s="47">
        <v>1</v>
      </c>
      <c r="Q119" s="47"/>
      <c r="R119" s="222"/>
      <c r="S119" s="155">
        <f>H119*P119+I119*Q119</f>
        <v>2</v>
      </c>
    </row>
    <row r="120" spans="1:19" ht="15.75" customHeight="1" x14ac:dyDescent="0.25">
      <c r="A120" s="435"/>
      <c r="B120" s="48" t="s">
        <v>429</v>
      </c>
      <c r="C120" s="48" t="s">
        <v>23</v>
      </c>
      <c r="D120" s="47" t="s">
        <v>24</v>
      </c>
      <c r="E120" s="47" t="s">
        <v>25</v>
      </c>
      <c r="F120" s="47" t="s">
        <v>17</v>
      </c>
      <c r="G120" s="47">
        <v>1</v>
      </c>
      <c r="H120" s="47"/>
      <c r="I120" s="47"/>
      <c r="J120" s="55" t="s">
        <v>451</v>
      </c>
      <c r="K120" s="298" t="s">
        <v>28</v>
      </c>
      <c r="L120" s="73" t="s">
        <v>17</v>
      </c>
      <c r="M120" s="55" t="s">
        <v>26</v>
      </c>
      <c r="N120" s="72"/>
      <c r="O120" s="47">
        <v>0</v>
      </c>
      <c r="P120" s="47"/>
      <c r="Q120" s="47"/>
      <c r="R120" s="222">
        <f>G120*O120</f>
        <v>0</v>
      </c>
      <c r="S120" s="155"/>
    </row>
    <row r="121" spans="1:19" x14ac:dyDescent="0.25">
      <c r="A121" s="435"/>
      <c r="B121" s="48" t="s">
        <v>429</v>
      </c>
      <c r="C121" s="48" t="s">
        <v>23</v>
      </c>
      <c r="D121" s="47" t="s">
        <v>24</v>
      </c>
      <c r="E121" s="47" t="s">
        <v>25</v>
      </c>
      <c r="F121" s="47" t="s">
        <v>18</v>
      </c>
      <c r="G121" s="47"/>
      <c r="H121" s="47">
        <v>2</v>
      </c>
      <c r="I121" s="47"/>
      <c r="J121" s="55" t="s">
        <v>551</v>
      </c>
      <c r="K121" s="48" t="s">
        <v>195</v>
      </c>
      <c r="L121" s="122" t="s">
        <v>17</v>
      </c>
      <c r="M121" s="251" t="s">
        <v>26</v>
      </c>
      <c r="N121" s="72"/>
      <c r="O121" s="47"/>
      <c r="P121" s="47">
        <v>0</v>
      </c>
      <c r="Q121" s="47"/>
      <c r="R121" s="222"/>
      <c r="S121" s="155">
        <f>H121*P121+I121*Q121</f>
        <v>0</v>
      </c>
    </row>
    <row r="122" spans="1:19" ht="15.75" customHeight="1" x14ac:dyDescent="0.25">
      <c r="A122" s="434">
        <v>7</v>
      </c>
      <c r="B122" s="48" t="s">
        <v>34</v>
      </c>
      <c r="C122" s="48" t="s">
        <v>23</v>
      </c>
      <c r="D122" s="47" t="s">
        <v>36</v>
      </c>
      <c r="E122" s="331" t="s">
        <v>25</v>
      </c>
      <c r="F122" s="47" t="s">
        <v>17</v>
      </c>
      <c r="G122" s="47">
        <v>3</v>
      </c>
      <c r="H122" s="47"/>
      <c r="I122" s="47"/>
      <c r="J122" s="48" t="s">
        <v>461</v>
      </c>
      <c r="K122" s="48" t="s">
        <v>82</v>
      </c>
      <c r="L122" s="47" t="s">
        <v>17</v>
      </c>
      <c r="M122" s="48" t="s">
        <v>26</v>
      </c>
      <c r="N122" s="73"/>
      <c r="O122" s="47">
        <v>1</v>
      </c>
      <c r="P122" s="47"/>
      <c r="Q122" s="47"/>
      <c r="R122" s="222">
        <f t="shared" ref="R122" si="37">G122*O122</f>
        <v>3</v>
      </c>
      <c r="S122" s="232"/>
    </row>
    <row r="123" spans="1:19" ht="15.75" customHeight="1" x14ac:dyDescent="0.25">
      <c r="A123" s="435"/>
      <c r="B123" s="48" t="s">
        <v>34</v>
      </c>
      <c r="C123" s="48" t="s">
        <v>23</v>
      </c>
      <c r="D123" s="47" t="s">
        <v>36</v>
      </c>
      <c r="E123" s="331" t="s">
        <v>25</v>
      </c>
      <c r="F123" s="47" t="s">
        <v>18</v>
      </c>
      <c r="G123" s="47"/>
      <c r="H123" s="47">
        <v>3</v>
      </c>
      <c r="I123" s="47"/>
      <c r="J123" s="48" t="s">
        <v>461</v>
      </c>
      <c r="K123" s="48" t="s">
        <v>82</v>
      </c>
      <c r="L123" s="47" t="s">
        <v>17</v>
      </c>
      <c r="M123" s="48" t="s">
        <v>26</v>
      </c>
      <c r="N123" s="73"/>
      <c r="O123" s="47"/>
      <c r="P123" s="47">
        <v>1</v>
      </c>
      <c r="Q123" s="47"/>
      <c r="R123" s="222"/>
      <c r="S123" s="232">
        <f t="shared" ref="S123" si="38">H123*P123</f>
        <v>3</v>
      </c>
    </row>
    <row r="124" spans="1:19" x14ac:dyDescent="0.25">
      <c r="A124" s="355">
        <v>8</v>
      </c>
      <c r="B124" s="48" t="s">
        <v>38</v>
      </c>
      <c r="C124" s="48" t="s">
        <v>23</v>
      </c>
      <c r="D124" s="47" t="s">
        <v>36</v>
      </c>
      <c r="E124" s="47" t="s">
        <v>25</v>
      </c>
      <c r="F124" s="47" t="s">
        <v>17</v>
      </c>
      <c r="G124" s="47">
        <v>2</v>
      </c>
      <c r="H124" s="38"/>
      <c r="I124" s="47"/>
      <c r="J124" s="363" t="s">
        <v>452</v>
      </c>
      <c r="K124" s="48" t="s">
        <v>82</v>
      </c>
      <c r="L124" s="47" t="s">
        <v>17</v>
      </c>
      <c r="M124" s="152" t="s">
        <v>26</v>
      </c>
      <c r="N124" s="73"/>
      <c r="O124" s="47">
        <v>1</v>
      </c>
      <c r="P124" s="47"/>
      <c r="Q124" s="47"/>
      <c r="R124" s="222">
        <f>G124*O124</f>
        <v>2</v>
      </c>
      <c r="S124" s="155"/>
    </row>
    <row r="125" spans="1:19" x14ac:dyDescent="0.25">
      <c r="A125" s="355"/>
      <c r="B125" s="48" t="s">
        <v>38</v>
      </c>
      <c r="C125" s="48" t="s">
        <v>23</v>
      </c>
      <c r="D125" s="47" t="s">
        <v>36</v>
      </c>
      <c r="E125" s="47" t="s">
        <v>25</v>
      </c>
      <c r="F125" s="47" t="s">
        <v>18</v>
      </c>
      <c r="G125" s="47"/>
      <c r="H125" s="47">
        <v>2</v>
      </c>
      <c r="I125" s="47"/>
      <c r="J125" s="363" t="s">
        <v>452</v>
      </c>
      <c r="K125" s="48" t="s">
        <v>82</v>
      </c>
      <c r="L125" s="47" t="s">
        <v>17</v>
      </c>
      <c r="M125" s="152" t="s">
        <v>26</v>
      </c>
      <c r="N125" s="73"/>
      <c r="O125" s="47"/>
      <c r="P125" s="47">
        <v>1</v>
      </c>
      <c r="Q125" s="47"/>
      <c r="R125" s="222"/>
      <c r="S125" s="155">
        <f>H125*P125+I125*Q125</f>
        <v>2</v>
      </c>
    </row>
    <row r="126" spans="1:19" ht="15.75" customHeight="1" x14ac:dyDescent="0.25">
      <c r="A126" s="434">
        <v>9</v>
      </c>
      <c r="B126" s="48" t="s">
        <v>185</v>
      </c>
      <c r="C126" s="48" t="s">
        <v>23</v>
      </c>
      <c r="D126" s="47" t="s">
        <v>36</v>
      </c>
      <c r="E126" s="47" t="s">
        <v>25</v>
      </c>
      <c r="F126" s="47" t="s">
        <v>17</v>
      </c>
      <c r="G126" s="47">
        <v>2</v>
      </c>
      <c r="H126" s="38"/>
      <c r="I126" s="47"/>
      <c r="J126" s="48" t="s">
        <v>453</v>
      </c>
      <c r="K126" s="359" t="s">
        <v>28</v>
      </c>
      <c r="L126" s="47" t="s">
        <v>17</v>
      </c>
      <c r="M126" s="48" t="s">
        <v>26</v>
      </c>
      <c r="N126" s="73"/>
      <c r="O126" s="47">
        <v>1</v>
      </c>
      <c r="P126" s="47"/>
      <c r="Q126" s="47"/>
      <c r="R126" s="222">
        <f>G126*O126</f>
        <v>2</v>
      </c>
      <c r="S126" s="155"/>
    </row>
    <row r="127" spans="1:19" ht="15.75" customHeight="1" x14ac:dyDescent="0.25">
      <c r="A127" s="435"/>
      <c r="B127" s="48" t="s">
        <v>185</v>
      </c>
      <c r="C127" s="48" t="s">
        <v>23</v>
      </c>
      <c r="D127" s="47" t="s">
        <v>36</v>
      </c>
      <c r="E127" s="47" t="s">
        <v>25</v>
      </c>
      <c r="F127" s="47" t="s">
        <v>18</v>
      </c>
      <c r="G127" s="47"/>
      <c r="H127" s="47">
        <v>2</v>
      </c>
      <c r="I127" s="47"/>
      <c r="J127" s="48" t="s">
        <v>453</v>
      </c>
      <c r="K127" s="359" t="s">
        <v>28</v>
      </c>
      <c r="L127" s="47" t="s">
        <v>17</v>
      </c>
      <c r="M127" s="48" t="s">
        <v>26</v>
      </c>
      <c r="N127" s="73"/>
      <c r="O127" s="47"/>
      <c r="P127" s="47">
        <v>1</v>
      </c>
      <c r="Q127" s="47"/>
      <c r="R127" s="222"/>
      <c r="S127" s="155">
        <f>H127*P127+I127*Q127</f>
        <v>2</v>
      </c>
    </row>
    <row r="128" spans="1:19" ht="15.75" customHeight="1" x14ac:dyDescent="0.25">
      <c r="A128" s="434">
        <v>10</v>
      </c>
      <c r="B128" s="48" t="s">
        <v>186</v>
      </c>
      <c r="C128" s="48" t="s">
        <v>23</v>
      </c>
      <c r="D128" s="47" t="s">
        <v>36</v>
      </c>
      <c r="E128" s="47" t="s">
        <v>25</v>
      </c>
      <c r="F128" s="47" t="s">
        <v>17</v>
      </c>
      <c r="G128" s="47">
        <v>2</v>
      </c>
      <c r="H128" s="47"/>
      <c r="I128" s="47"/>
      <c r="J128" s="251" t="s">
        <v>409</v>
      </c>
      <c r="K128" s="48" t="s">
        <v>43</v>
      </c>
      <c r="L128" s="331" t="s">
        <v>17</v>
      </c>
      <c r="M128" s="363" t="s">
        <v>26</v>
      </c>
      <c r="N128" s="73"/>
      <c r="O128" s="47">
        <v>1</v>
      </c>
      <c r="P128" s="47"/>
      <c r="Q128" s="47"/>
      <c r="R128" s="222">
        <f>G128*O128</f>
        <v>2</v>
      </c>
      <c r="S128" s="155"/>
    </row>
    <row r="129" spans="1:19" ht="15.75" customHeight="1" x14ac:dyDescent="0.25">
      <c r="A129" s="435"/>
      <c r="B129" s="48" t="s">
        <v>186</v>
      </c>
      <c r="C129" s="48" t="s">
        <v>23</v>
      </c>
      <c r="D129" s="47" t="s">
        <v>36</v>
      </c>
      <c r="E129" s="47" t="s">
        <v>25</v>
      </c>
      <c r="F129" s="47" t="s">
        <v>18</v>
      </c>
      <c r="G129" s="47"/>
      <c r="H129" s="47">
        <v>2</v>
      </c>
      <c r="I129" s="47"/>
      <c r="J129" s="251" t="s">
        <v>409</v>
      </c>
      <c r="K129" s="48" t="s">
        <v>43</v>
      </c>
      <c r="L129" s="331" t="s">
        <v>17</v>
      </c>
      <c r="M129" s="363" t="s">
        <v>26</v>
      </c>
      <c r="N129" s="73"/>
      <c r="O129" s="47"/>
      <c r="P129" s="47">
        <v>1</v>
      </c>
      <c r="Q129" s="47"/>
      <c r="R129" s="222"/>
      <c r="S129" s="155">
        <f>H129*P129+I129*Q129</f>
        <v>2</v>
      </c>
    </row>
    <row r="130" spans="1:19" ht="25.5" x14ac:dyDescent="0.25">
      <c r="A130" s="434">
        <v>11</v>
      </c>
      <c r="B130" s="48" t="s">
        <v>419</v>
      </c>
      <c r="C130" s="48" t="s">
        <v>23</v>
      </c>
      <c r="D130" s="47" t="s">
        <v>36</v>
      </c>
      <c r="E130" s="47" t="s">
        <v>25</v>
      </c>
      <c r="F130" s="47" t="s">
        <v>17</v>
      </c>
      <c r="G130" s="47">
        <v>2</v>
      </c>
      <c r="H130" s="38"/>
      <c r="I130" s="47"/>
      <c r="J130" s="48" t="s">
        <v>454</v>
      </c>
      <c r="K130" s="48" t="s">
        <v>28</v>
      </c>
      <c r="L130" s="47" t="s">
        <v>17</v>
      </c>
      <c r="M130" s="48" t="s">
        <v>26</v>
      </c>
      <c r="N130" s="73"/>
      <c r="O130" s="47">
        <v>1</v>
      </c>
      <c r="P130" s="47"/>
      <c r="Q130" s="47"/>
      <c r="R130" s="222">
        <f>G130*O130</f>
        <v>2</v>
      </c>
      <c r="S130" s="155"/>
    </row>
    <row r="131" spans="1:19" ht="25.5" x14ac:dyDescent="0.25">
      <c r="A131" s="435"/>
      <c r="B131" s="48" t="s">
        <v>419</v>
      </c>
      <c r="C131" s="48" t="s">
        <v>23</v>
      </c>
      <c r="D131" s="47" t="s">
        <v>36</v>
      </c>
      <c r="E131" s="47" t="s">
        <v>25</v>
      </c>
      <c r="F131" s="47" t="s">
        <v>18</v>
      </c>
      <c r="G131" s="47"/>
      <c r="H131" s="47">
        <v>2</v>
      </c>
      <c r="I131" s="47"/>
      <c r="J131" s="48" t="s">
        <v>465</v>
      </c>
      <c r="K131" s="48" t="s">
        <v>82</v>
      </c>
      <c r="L131" s="47" t="s">
        <v>17</v>
      </c>
      <c r="M131" s="48" t="s">
        <v>26</v>
      </c>
      <c r="N131" s="73"/>
      <c r="O131" s="47"/>
      <c r="P131" s="47">
        <v>1</v>
      </c>
      <c r="Q131" s="47"/>
      <c r="R131" s="222"/>
      <c r="S131" s="155">
        <f>H131*P131+I131*Q131</f>
        <v>2</v>
      </c>
    </row>
    <row r="132" spans="1:19" ht="30" x14ac:dyDescent="0.25">
      <c r="A132" s="434">
        <v>12</v>
      </c>
      <c r="B132" s="48" t="s">
        <v>187</v>
      </c>
      <c r="C132" s="48" t="s">
        <v>23</v>
      </c>
      <c r="D132" s="47" t="s">
        <v>36</v>
      </c>
      <c r="E132" s="47" t="s">
        <v>25</v>
      </c>
      <c r="F132" s="47" t="s">
        <v>17</v>
      </c>
      <c r="G132" s="47">
        <v>1</v>
      </c>
      <c r="H132" s="38"/>
      <c r="I132" s="47"/>
      <c r="J132" s="414" t="s">
        <v>566</v>
      </c>
      <c r="K132" s="427" t="s">
        <v>28</v>
      </c>
      <c r="L132" s="410" t="s">
        <v>567</v>
      </c>
      <c r="M132" s="152" t="s">
        <v>514</v>
      </c>
      <c r="N132" s="73"/>
      <c r="O132" s="47">
        <v>1</v>
      </c>
      <c r="P132" s="47"/>
      <c r="Q132" s="47"/>
      <c r="R132" s="222">
        <f t="shared" ref="R132:S162" si="39">G132*O132</f>
        <v>1</v>
      </c>
      <c r="S132" s="155"/>
    </row>
    <row r="133" spans="1:19" ht="15.75" customHeight="1" x14ac:dyDescent="0.25">
      <c r="A133" s="435"/>
      <c r="B133" s="48" t="s">
        <v>187</v>
      </c>
      <c r="C133" s="48" t="s">
        <v>23</v>
      </c>
      <c r="D133" s="47" t="s">
        <v>36</v>
      </c>
      <c r="E133" s="47" t="s">
        <v>25</v>
      </c>
      <c r="F133" s="47" t="s">
        <v>18</v>
      </c>
      <c r="G133" s="47"/>
      <c r="H133" s="47">
        <v>2</v>
      </c>
      <c r="I133" s="47"/>
      <c r="J133" s="429" t="s">
        <v>566</v>
      </c>
      <c r="K133" s="427" t="s">
        <v>28</v>
      </c>
      <c r="L133" s="428" t="s">
        <v>567</v>
      </c>
      <c r="M133" s="152" t="s">
        <v>514</v>
      </c>
      <c r="N133" s="73"/>
      <c r="O133" s="47"/>
      <c r="P133" s="47">
        <v>1</v>
      </c>
      <c r="Q133" s="331"/>
      <c r="R133" s="222"/>
      <c r="S133" s="155">
        <f t="shared" si="39"/>
        <v>2</v>
      </c>
    </row>
    <row r="134" spans="1:19" ht="15.75" customHeight="1" x14ac:dyDescent="0.25">
      <c r="A134" s="435"/>
      <c r="B134" s="48" t="s">
        <v>188</v>
      </c>
      <c r="C134" s="48" t="s">
        <v>23</v>
      </c>
      <c r="D134" s="47" t="s">
        <v>36</v>
      </c>
      <c r="E134" s="47" t="s">
        <v>25</v>
      </c>
      <c r="F134" s="47" t="s">
        <v>17</v>
      </c>
      <c r="G134" s="47">
        <v>1</v>
      </c>
      <c r="H134" s="38"/>
      <c r="I134" s="47"/>
      <c r="J134" s="55" t="s">
        <v>466</v>
      </c>
      <c r="K134" s="48" t="s">
        <v>564</v>
      </c>
      <c r="L134" s="73" t="s">
        <v>17</v>
      </c>
      <c r="M134" s="55" t="s">
        <v>26</v>
      </c>
      <c r="N134" s="73"/>
      <c r="O134" s="47">
        <v>0</v>
      </c>
      <c r="P134" s="47"/>
      <c r="Q134" s="61"/>
      <c r="R134" s="222">
        <f t="shared" si="39"/>
        <v>0</v>
      </c>
      <c r="S134" s="155"/>
    </row>
    <row r="135" spans="1:19" ht="15.75" customHeight="1" x14ac:dyDescent="0.25">
      <c r="A135" s="435"/>
      <c r="B135" s="48" t="s">
        <v>188</v>
      </c>
      <c r="C135" s="48" t="s">
        <v>23</v>
      </c>
      <c r="D135" s="47" t="s">
        <v>36</v>
      </c>
      <c r="E135" s="47" t="s">
        <v>25</v>
      </c>
      <c r="F135" s="47" t="s">
        <v>18</v>
      </c>
      <c r="G135" s="47"/>
      <c r="H135" s="47">
        <v>2</v>
      </c>
      <c r="I135" s="47"/>
      <c r="J135" s="251" t="s">
        <v>547</v>
      </c>
      <c r="K135" s="251" t="s">
        <v>43</v>
      </c>
      <c r="L135" s="331" t="s">
        <v>37</v>
      </c>
      <c r="M135" s="251" t="s">
        <v>26</v>
      </c>
      <c r="N135" s="73"/>
      <c r="O135" s="47"/>
      <c r="P135" s="47">
        <v>1</v>
      </c>
      <c r="Q135" s="61"/>
      <c r="R135" s="222"/>
      <c r="S135" s="155">
        <f t="shared" si="39"/>
        <v>2</v>
      </c>
    </row>
    <row r="136" spans="1:19" ht="15.75" customHeight="1" x14ac:dyDescent="0.25">
      <c r="A136" s="435"/>
      <c r="B136" s="48" t="s">
        <v>432</v>
      </c>
      <c r="C136" s="48" t="s">
        <v>23</v>
      </c>
      <c r="D136" s="47" t="s">
        <v>36</v>
      </c>
      <c r="E136" s="47" t="s">
        <v>25</v>
      </c>
      <c r="F136" s="47" t="s">
        <v>17</v>
      </c>
      <c r="G136" s="47">
        <v>1</v>
      </c>
      <c r="H136" s="38"/>
      <c r="I136" s="47"/>
      <c r="J136" s="251" t="s">
        <v>407</v>
      </c>
      <c r="K136" s="48" t="s">
        <v>43</v>
      </c>
      <c r="L136" s="331" t="s">
        <v>17</v>
      </c>
      <c r="M136" s="363" t="s">
        <v>26</v>
      </c>
      <c r="N136" s="73"/>
      <c r="O136" s="47">
        <v>1</v>
      </c>
      <c r="P136" s="47"/>
      <c r="Q136" s="61"/>
      <c r="R136" s="222">
        <f t="shared" ref="R136" si="40">G136*O136</f>
        <v>1</v>
      </c>
      <c r="S136" s="155"/>
    </row>
    <row r="137" spans="1:19" ht="15.75" customHeight="1" x14ac:dyDescent="0.25">
      <c r="A137" s="435"/>
      <c r="B137" s="48" t="s">
        <v>432</v>
      </c>
      <c r="C137" s="48" t="s">
        <v>23</v>
      </c>
      <c r="D137" s="47" t="s">
        <v>36</v>
      </c>
      <c r="E137" s="47" t="s">
        <v>25</v>
      </c>
      <c r="F137" s="47" t="s">
        <v>18</v>
      </c>
      <c r="G137" s="47"/>
      <c r="H137" s="47">
        <v>2</v>
      </c>
      <c r="I137" s="47"/>
      <c r="J137" s="251" t="s">
        <v>407</v>
      </c>
      <c r="K137" s="48" t="s">
        <v>43</v>
      </c>
      <c r="L137" s="331" t="s">
        <v>17</v>
      </c>
      <c r="M137" s="363" t="s">
        <v>26</v>
      </c>
      <c r="N137" s="73"/>
      <c r="O137" s="47"/>
      <c r="P137" s="47">
        <v>1</v>
      </c>
      <c r="Q137" s="61"/>
      <c r="R137" s="222"/>
      <c r="S137" s="155">
        <f t="shared" ref="S137" si="41">H137*P137</f>
        <v>2</v>
      </c>
    </row>
    <row r="138" spans="1:19" x14ac:dyDescent="0.25">
      <c r="A138" s="435"/>
      <c r="B138" s="48" t="s">
        <v>434</v>
      </c>
      <c r="C138" s="48" t="s">
        <v>23</v>
      </c>
      <c r="D138" s="47" t="s">
        <v>36</v>
      </c>
      <c r="E138" s="47" t="s">
        <v>25</v>
      </c>
      <c r="F138" s="47" t="s">
        <v>17</v>
      </c>
      <c r="G138" s="47">
        <v>1</v>
      </c>
      <c r="H138" s="38"/>
      <c r="I138" s="47"/>
      <c r="J138" s="251" t="s">
        <v>466</v>
      </c>
      <c r="K138" s="48" t="s">
        <v>564</v>
      </c>
      <c r="L138" s="73" t="s">
        <v>17</v>
      </c>
      <c r="M138" s="55" t="s">
        <v>26</v>
      </c>
      <c r="N138" s="73"/>
      <c r="O138" s="47">
        <v>0</v>
      </c>
      <c r="P138" s="47"/>
      <c r="Q138" s="61"/>
      <c r="R138" s="222">
        <v>1</v>
      </c>
      <c r="S138" s="155"/>
    </row>
    <row r="139" spans="1:19" ht="15.75" customHeight="1" x14ac:dyDescent="0.25">
      <c r="A139" s="435"/>
      <c r="B139" s="48" t="s">
        <v>434</v>
      </c>
      <c r="C139" s="48" t="s">
        <v>23</v>
      </c>
      <c r="D139" s="47" t="s">
        <v>36</v>
      </c>
      <c r="E139" s="47" t="s">
        <v>25</v>
      </c>
      <c r="F139" s="47" t="s">
        <v>18</v>
      </c>
      <c r="G139" s="47"/>
      <c r="H139" s="47">
        <v>2</v>
      </c>
      <c r="I139" s="47"/>
      <c r="J139" s="251" t="s">
        <v>323</v>
      </c>
      <c r="K139" s="48" t="s">
        <v>408</v>
      </c>
      <c r="L139" s="73" t="s">
        <v>17</v>
      </c>
      <c r="M139" s="55" t="s">
        <v>26</v>
      </c>
      <c r="N139" s="73"/>
      <c r="O139" s="47"/>
      <c r="P139" s="47">
        <v>0</v>
      </c>
      <c r="Q139" s="61"/>
      <c r="R139" s="222"/>
      <c r="S139" s="155">
        <v>2</v>
      </c>
    </row>
    <row r="140" spans="1:19" ht="15.75" customHeight="1" x14ac:dyDescent="0.25">
      <c r="A140" s="435"/>
      <c r="B140" s="48" t="s">
        <v>433</v>
      </c>
      <c r="C140" s="48" t="s">
        <v>23</v>
      </c>
      <c r="D140" s="47" t="s">
        <v>36</v>
      </c>
      <c r="E140" s="47" t="s">
        <v>25</v>
      </c>
      <c r="F140" s="47" t="s">
        <v>17</v>
      </c>
      <c r="G140" s="47">
        <v>1</v>
      </c>
      <c r="H140" s="38"/>
      <c r="I140" s="47"/>
      <c r="J140" s="55" t="s">
        <v>451</v>
      </c>
      <c r="K140" s="298" t="s">
        <v>28</v>
      </c>
      <c r="L140" s="73" t="s">
        <v>17</v>
      </c>
      <c r="M140" s="55" t="s">
        <v>26</v>
      </c>
      <c r="N140" s="73"/>
      <c r="O140" s="47">
        <v>0</v>
      </c>
      <c r="P140" s="47"/>
      <c r="Q140" s="61"/>
      <c r="R140" s="222">
        <f t="shared" ref="R140" si="42">G140*O140</f>
        <v>0</v>
      </c>
      <c r="S140" s="155"/>
    </row>
    <row r="141" spans="1:19" ht="15.75" customHeight="1" x14ac:dyDescent="0.25">
      <c r="A141" s="435"/>
      <c r="B141" s="48" t="s">
        <v>433</v>
      </c>
      <c r="C141" s="48" t="s">
        <v>23</v>
      </c>
      <c r="D141" s="47" t="s">
        <v>36</v>
      </c>
      <c r="E141" s="47" t="s">
        <v>25</v>
      </c>
      <c r="F141" s="47" t="s">
        <v>18</v>
      </c>
      <c r="G141" s="47"/>
      <c r="H141" s="47">
        <v>2</v>
      </c>
      <c r="I141" s="47"/>
      <c r="J141" s="55" t="s">
        <v>451</v>
      </c>
      <c r="K141" s="251" t="s">
        <v>28</v>
      </c>
      <c r="L141" s="122" t="s">
        <v>17</v>
      </c>
      <c r="M141" s="251" t="s">
        <v>26</v>
      </c>
      <c r="N141" s="73"/>
      <c r="O141" s="47"/>
      <c r="P141" s="47">
        <v>0</v>
      </c>
      <c r="Q141" s="61"/>
      <c r="R141" s="222"/>
      <c r="S141" s="155">
        <f t="shared" ref="S141" si="43">H141*P141</f>
        <v>0</v>
      </c>
    </row>
    <row r="142" spans="1:19" ht="25.5" x14ac:dyDescent="0.25">
      <c r="A142" s="509">
        <v>13</v>
      </c>
      <c r="B142" s="365" t="s">
        <v>435</v>
      </c>
      <c r="C142" s="18" t="s">
        <v>23</v>
      </c>
      <c r="D142" s="19" t="s">
        <v>46</v>
      </c>
      <c r="E142" s="47" t="s">
        <v>25</v>
      </c>
      <c r="F142" s="19" t="s">
        <v>17</v>
      </c>
      <c r="G142" s="47">
        <v>2</v>
      </c>
      <c r="H142" s="23"/>
      <c r="I142" s="47"/>
      <c r="J142" s="48" t="s">
        <v>455</v>
      </c>
      <c r="K142" s="48" t="s">
        <v>28</v>
      </c>
      <c r="L142" s="47" t="s">
        <v>17</v>
      </c>
      <c r="M142" s="359" t="s">
        <v>26</v>
      </c>
      <c r="N142" s="73"/>
      <c r="O142" s="47">
        <v>1</v>
      </c>
      <c r="P142" s="362"/>
      <c r="Q142" s="61"/>
      <c r="R142" s="222">
        <f t="shared" si="39"/>
        <v>2</v>
      </c>
      <c r="S142" s="155"/>
    </row>
    <row r="143" spans="1:19" ht="25.5" x14ac:dyDescent="0.25">
      <c r="A143" s="510"/>
      <c r="B143" s="365" t="s">
        <v>435</v>
      </c>
      <c r="C143" s="18" t="s">
        <v>23</v>
      </c>
      <c r="D143" s="19" t="s">
        <v>46</v>
      </c>
      <c r="E143" s="47" t="s">
        <v>25</v>
      </c>
      <c r="F143" s="19" t="s">
        <v>18</v>
      </c>
      <c r="G143" s="47"/>
      <c r="H143" s="47">
        <v>2</v>
      </c>
      <c r="I143" s="47"/>
      <c r="J143" s="251" t="s">
        <v>323</v>
      </c>
      <c r="K143" s="48" t="s">
        <v>303</v>
      </c>
      <c r="L143" s="122" t="s">
        <v>17</v>
      </c>
      <c r="M143" s="134" t="s">
        <v>26</v>
      </c>
      <c r="N143" s="73"/>
      <c r="O143" s="47"/>
      <c r="P143" s="362">
        <v>1</v>
      </c>
      <c r="Q143" s="61"/>
      <c r="R143" s="222"/>
      <c r="S143" s="155">
        <f t="shared" si="39"/>
        <v>2</v>
      </c>
    </row>
    <row r="144" spans="1:19" ht="63.75" x14ac:dyDescent="0.25">
      <c r="A144" s="434">
        <v>14</v>
      </c>
      <c r="B144" s="48" t="s">
        <v>436</v>
      </c>
      <c r="C144" s="48" t="s">
        <v>23</v>
      </c>
      <c r="D144" s="47" t="s">
        <v>46</v>
      </c>
      <c r="E144" s="214" t="s">
        <v>51</v>
      </c>
      <c r="F144" s="47" t="s">
        <v>17</v>
      </c>
      <c r="G144" s="47">
        <v>2</v>
      </c>
      <c r="H144" s="38"/>
      <c r="I144" s="47"/>
      <c r="J144" s="55" t="s">
        <v>451</v>
      </c>
      <c r="K144" s="298" t="s">
        <v>28</v>
      </c>
      <c r="L144" s="47" t="s">
        <v>17</v>
      </c>
      <c r="M144" s="48" t="s">
        <v>26</v>
      </c>
      <c r="N144" s="73"/>
      <c r="O144" s="47">
        <v>1</v>
      </c>
      <c r="P144" s="362"/>
      <c r="Q144" s="61"/>
      <c r="R144" s="222">
        <f t="shared" si="39"/>
        <v>2</v>
      </c>
      <c r="S144" s="155"/>
    </row>
    <row r="145" spans="1:19" ht="63.75" x14ac:dyDescent="0.25">
      <c r="A145" s="435"/>
      <c r="B145" s="48" t="s">
        <v>436</v>
      </c>
      <c r="C145" s="48" t="s">
        <v>23</v>
      </c>
      <c r="D145" s="47" t="s">
        <v>46</v>
      </c>
      <c r="E145" s="214" t="s">
        <v>51</v>
      </c>
      <c r="F145" s="47" t="s">
        <v>18</v>
      </c>
      <c r="G145" s="47"/>
      <c r="H145" s="47">
        <v>2</v>
      </c>
      <c r="I145" s="47"/>
      <c r="J145" s="55" t="s">
        <v>551</v>
      </c>
      <c r="K145" s="48" t="s">
        <v>195</v>
      </c>
      <c r="L145" s="122" t="s">
        <v>17</v>
      </c>
      <c r="M145" s="251" t="s">
        <v>26</v>
      </c>
      <c r="N145" s="73"/>
      <c r="O145" s="47"/>
      <c r="P145" s="362">
        <v>1</v>
      </c>
      <c r="Q145" s="61"/>
      <c r="R145" s="222"/>
      <c r="S145" s="155">
        <f t="shared" si="39"/>
        <v>2</v>
      </c>
    </row>
    <row r="146" spans="1:19" ht="38.25" x14ac:dyDescent="0.25">
      <c r="A146" s="434">
        <v>15</v>
      </c>
      <c r="B146" s="48" t="s">
        <v>437</v>
      </c>
      <c r="C146" s="48" t="s">
        <v>23</v>
      </c>
      <c r="D146" s="47" t="s">
        <v>46</v>
      </c>
      <c r="E146" s="47" t="s">
        <v>25</v>
      </c>
      <c r="F146" s="47" t="s">
        <v>17</v>
      </c>
      <c r="G146" s="47">
        <v>2</v>
      </c>
      <c r="H146" s="38"/>
      <c r="I146" s="47"/>
      <c r="J146" s="150" t="s">
        <v>563</v>
      </c>
      <c r="K146" s="425" t="s">
        <v>82</v>
      </c>
      <c r="L146" s="331" t="s">
        <v>17</v>
      </c>
      <c r="M146" s="363" t="s">
        <v>26</v>
      </c>
      <c r="N146" s="73"/>
      <c r="O146" s="47">
        <v>1</v>
      </c>
      <c r="P146" s="47"/>
      <c r="Q146" s="61"/>
      <c r="R146" s="222">
        <f t="shared" si="39"/>
        <v>2</v>
      </c>
      <c r="S146" s="155"/>
    </row>
    <row r="147" spans="1:19" ht="38.25" x14ac:dyDescent="0.25">
      <c r="A147" s="435"/>
      <c r="B147" s="48" t="s">
        <v>437</v>
      </c>
      <c r="C147" s="48" t="s">
        <v>23</v>
      </c>
      <c r="D147" s="47" t="s">
        <v>46</v>
      </c>
      <c r="E147" s="47" t="s">
        <v>25</v>
      </c>
      <c r="F147" s="47" t="s">
        <v>18</v>
      </c>
      <c r="G147" s="47"/>
      <c r="H147" s="47">
        <v>2</v>
      </c>
      <c r="I147" s="47"/>
      <c r="J147" s="150" t="s">
        <v>563</v>
      </c>
      <c r="K147" s="425" t="s">
        <v>82</v>
      </c>
      <c r="L147" s="331" t="s">
        <v>17</v>
      </c>
      <c r="M147" s="363" t="s">
        <v>26</v>
      </c>
      <c r="N147" s="73"/>
      <c r="O147" s="47"/>
      <c r="P147" s="47">
        <v>1</v>
      </c>
      <c r="Q147" s="61"/>
      <c r="R147" s="222"/>
      <c r="S147" s="155">
        <f t="shared" si="39"/>
        <v>2</v>
      </c>
    </row>
    <row r="148" spans="1:19" ht="25.5" x14ac:dyDescent="0.25">
      <c r="A148" s="452">
        <v>16</v>
      </c>
      <c r="B148" s="48" t="s">
        <v>438</v>
      </c>
      <c r="C148" s="48" t="s">
        <v>23</v>
      </c>
      <c r="D148" s="47" t="s">
        <v>46</v>
      </c>
      <c r="E148" s="47" t="s">
        <v>25</v>
      </c>
      <c r="F148" s="47" t="s">
        <v>17</v>
      </c>
      <c r="G148" s="47">
        <v>3</v>
      </c>
      <c r="H148" s="38"/>
      <c r="I148" s="47"/>
      <c r="J148" s="150" t="s">
        <v>456</v>
      </c>
      <c r="K148" s="425" t="s">
        <v>43</v>
      </c>
      <c r="L148" s="331" t="s">
        <v>37</v>
      </c>
      <c r="M148" s="48"/>
      <c r="N148" s="73"/>
      <c r="O148" s="47">
        <v>1</v>
      </c>
      <c r="P148" s="47"/>
      <c r="Q148" s="61"/>
      <c r="R148" s="222">
        <f t="shared" ref="R148" si="44">G148*O148</f>
        <v>3</v>
      </c>
      <c r="S148" s="155"/>
    </row>
    <row r="149" spans="1:19" ht="25.5" x14ac:dyDescent="0.25">
      <c r="A149" s="448"/>
      <c r="B149" s="48" t="s">
        <v>438</v>
      </c>
      <c r="C149" s="48" t="s">
        <v>23</v>
      </c>
      <c r="D149" s="47" t="s">
        <v>46</v>
      </c>
      <c r="E149" s="47" t="s">
        <v>25</v>
      </c>
      <c r="F149" s="47" t="s">
        <v>18</v>
      </c>
      <c r="G149" s="47"/>
      <c r="H149" s="47">
        <v>2</v>
      </c>
      <c r="I149" s="47"/>
      <c r="J149" s="251" t="s">
        <v>547</v>
      </c>
      <c r="K149" s="251" t="s">
        <v>43</v>
      </c>
      <c r="L149" s="331" t="s">
        <v>37</v>
      </c>
      <c r="M149" s="251"/>
      <c r="N149" s="73"/>
      <c r="O149" s="47"/>
      <c r="P149" s="47">
        <v>1</v>
      </c>
      <c r="Q149" s="61"/>
      <c r="R149" s="222"/>
      <c r="S149" s="155">
        <f t="shared" ref="S149" si="45">H149*P149</f>
        <v>2</v>
      </c>
    </row>
    <row r="150" spans="1:19" ht="15.75" customHeight="1" x14ac:dyDescent="0.25">
      <c r="A150" s="434">
        <v>17</v>
      </c>
      <c r="B150" s="48" t="s">
        <v>203</v>
      </c>
      <c r="C150" s="48" t="s">
        <v>23</v>
      </c>
      <c r="D150" s="47" t="s">
        <v>46</v>
      </c>
      <c r="E150" s="47" t="s">
        <v>25</v>
      </c>
      <c r="F150" s="47" t="s">
        <v>17</v>
      </c>
      <c r="G150" s="47">
        <v>2</v>
      </c>
      <c r="H150" s="38"/>
      <c r="I150" s="47"/>
      <c r="J150" s="55" t="s">
        <v>466</v>
      </c>
      <c r="K150" s="48" t="s">
        <v>564</v>
      </c>
      <c r="L150" s="73" t="s">
        <v>17</v>
      </c>
      <c r="M150" s="55" t="s">
        <v>26</v>
      </c>
      <c r="N150" s="73"/>
      <c r="O150" s="47">
        <v>1</v>
      </c>
      <c r="P150" s="47"/>
      <c r="Q150" s="61"/>
      <c r="R150" s="222">
        <f t="shared" si="39"/>
        <v>2</v>
      </c>
      <c r="S150" s="155"/>
    </row>
    <row r="151" spans="1:19" ht="15.75" customHeight="1" x14ac:dyDescent="0.25">
      <c r="A151" s="434"/>
      <c r="B151" s="48" t="s">
        <v>203</v>
      </c>
      <c r="C151" s="48" t="s">
        <v>23</v>
      </c>
      <c r="D151" s="47" t="s">
        <v>46</v>
      </c>
      <c r="E151" s="47" t="s">
        <v>25</v>
      </c>
      <c r="F151" s="47" t="s">
        <v>17</v>
      </c>
      <c r="G151" s="47"/>
      <c r="H151" s="38"/>
      <c r="I151" s="47"/>
      <c r="J151" s="55"/>
      <c r="K151" s="48"/>
      <c r="L151" s="73"/>
      <c r="M151" s="55"/>
      <c r="N151" s="73"/>
      <c r="O151" s="47">
        <v>1</v>
      </c>
      <c r="P151" s="47"/>
      <c r="Q151" s="61"/>
      <c r="R151" s="222">
        <f t="shared" ref="R151" si="46">G151*O151</f>
        <v>0</v>
      </c>
      <c r="S151" s="155"/>
    </row>
    <row r="152" spans="1:19" ht="15.75" customHeight="1" x14ac:dyDescent="0.25">
      <c r="A152" s="435"/>
      <c r="B152" s="48" t="s">
        <v>203</v>
      </c>
      <c r="C152" s="48" t="s">
        <v>23</v>
      </c>
      <c r="D152" s="47" t="s">
        <v>46</v>
      </c>
      <c r="E152" s="47" t="s">
        <v>25</v>
      </c>
      <c r="F152" s="47" t="s">
        <v>18</v>
      </c>
      <c r="G152" s="47"/>
      <c r="H152" s="47">
        <v>1</v>
      </c>
      <c r="I152" s="47"/>
      <c r="J152" s="251" t="s">
        <v>547</v>
      </c>
      <c r="K152" s="251" t="s">
        <v>43</v>
      </c>
      <c r="L152" s="331" t="s">
        <v>37</v>
      </c>
      <c r="M152" s="251"/>
      <c r="N152" s="73"/>
      <c r="O152" s="47"/>
      <c r="P152" s="47">
        <v>1</v>
      </c>
      <c r="Q152" s="61"/>
      <c r="R152" s="222"/>
      <c r="S152" s="155">
        <f t="shared" si="39"/>
        <v>1</v>
      </c>
    </row>
    <row r="153" spans="1:19" ht="15.75" customHeight="1" x14ac:dyDescent="0.25">
      <c r="A153" s="435"/>
      <c r="B153" s="48" t="s">
        <v>204</v>
      </c>
      <c r="C153" s="48" t="s">
        <v>23</v>
      </c>
      <c r="D153" s="47" t="s">
        <v>46</v>
      </c>
      <c r="E153" s="47" t="s">
        <v>25</v>
      </c>
      <c r="F153" s="47" t="s">
        <v>17</v>
      </c>
      <c r="G153" s="47">
        <v>2</v>
      </c>
      <c r="H153" s="38"/>
      <c r="I153" s="47"/>
      <c r="J153" s="150" t="s">
        <v>563</v>
      </c>
      <c r="K153" s="425" t="s">
        <v>82</v>
      </c>
      <c r="L153" s="331" t="s">
        <v>17</v>
      </c>
      <c r="M153" s="363" t="s">
        <v>26</v>
      </c>
      <c r="N153" s="73"/>
      <c r="O153" s="47">
        <v>1</v>
      </c>
      <c r="P153" s="47"/>
      <c r="Q153" s="61"/>
      <c r="R153" s="222">
        <f t="shared" ref="R153" si="47">G153*O153</f>
        <v>2</v>
      </c>
      <c r="S153" s="155"/>
    </row>
    <row r="154" spans="1:19" ht="15.75" customHeight="1" x14ac:dyDescent="0.25">
      <c r="A154" s="435"/>
      <c r="B154" s="48" t="s">
        <v>204</v>
      </c>
      <c r="C154" s="48" t="s">
        <v>23</v>
      </c>
      <c r="D154" s="47" t="s">
        <v>46</v>
      </c>
      <c r="E154" s="47" t="s">
        <v>25</v>
      </c>
      <c r="F154" s="47" t="s">
        <v>18</v>
      </c>
      <c r="G154" s="47"/>
      <c r="H154" s="47">
        <v>1</v>
      </c>
      <c r="I154" s="47"/>
      <c r="J154" s="150" t="s">
        <v>563</v>
      </c>
      <c r="K154" s="425" t="s">
        <v>82</v>
      </c>
      <c r="L154" s="331" t="s">
        <v>17</v>
      </c>
      <c r="M154" s="363" t="s">
        <v>26</v>
      </c>
      <c r="N154" s="73"/>
      <c r="O154" s="47"/>
      <c r="P154" s="47">
        <v>1</v>
      </c>
      <c r="Q154" s="61"/>
      <c r="R154" s="222"/>
      <c r="S154" s="155">
        <f t="shared" ref="S154" si="48">H154*P154</f>
        <v>1</v>
      </c>
    </row>
    <row r="155" spans="1:19" ht="15.75" customHeight="1" x14ac:dyDescent="0.25">
      <c r="A155" s="435"/>
      <c r="B155" s="48" t="s">
        <v>439</v>
      </c>
      <c r="C155" s="48" t="s">
        <v>23</v>
      </c>
      <c r="D155" s="47" t="s">
        <v>46</v>
      </c>
      <c r="E155" s="47" t="s">
        <v>25</v>
      </c>
      <c r="F155" s="47" t="s">
        <v>17</v>
      </c>
      <c r="G155" s="47">
        <v>2</v>
      </c>
      <c r="H155" s="38"/>
      <c r="I155" s="47"/>
      <c r="J155" s="48" t="s">
        <v>457</v>
      </c>
      <c r="K155" s="48" t="s">
        <v>43</v>
      </c>
      <c r="L155" s="47" t="s">
        <v>17</v>
      </c>
      <c r="M155" s="48" t="s">
        <v>26</v>
      </c>
      <c r="N155" s="73"/>
      <c r="O155" s="47">
        <v>0</v>
      </c>
      <c r="P155" s="47"/>
      <c r="Q155" s="61"/>
      <c r="R155" s="222">
        <f t="shared" ref="R155" si="49">G155*O155</f>
        <v>0</v>
      </c>
      <c r="S155" s="155"/>
    </row>
    <row r="156" spans="1:19" ht="15.75" customHeight="1" x14ac:dyDescent="0.25">
      <c r="A156" s="435"/>
      <c r="B156" s="48" t="s">
        <v>439</v>
      </c>
      <c r="C156" s="48" t="s">
        <v>23</v>
      </c>
      <c r="D156" s="47" t="s">
        <v>46</v>
      </c>
      <c r="E156" s="47" t="s">
        <v>25</v>
      </c>
      <c r="F156" s="47" t="s">
        <v>18</v>
      </c>
      <c r="G156" s="47"/>
      <c r="H156" s="47">
        <v>1</v>
      </c>
      <c r="I156" s="47"/>
      <c r="J156" s="48" t="s">
        <v>457</v>
      </c>
      <c r="K156" s="48" t="s">
        <v>43</v>
      </c>
      <c r="L156" s="47" t="s">
        <v>17</v>
      </c>
      <c r="M156" s="48" t="s">
        <v>26</v>
      </c>
      <c r="N156" s="73"/>
      <c r="O156" s="47"/>
      <c r="P156" s="47">
        <v>0</v>
      </c>
      <c r="Q156" s="61"/>
      <c r="R156" s="222"/>
      <c r="S156" s="155">
        <f t="shared" ref="S156" si="50">H156*P156</f>
        <v>0</v>
      </c>
    </row>
    <row r="157" spans="1:19" x14ac:dyDescent="0.25">
      <c r="A157" s="435"/>
      <c r="B157" s="48" t="s">
        <v>440</v>
      </c>
      <c r="C157" s="48" t="s">
        <v>23</v>
      </c>
      <c r="D157" s="47" t="s">
        <v>46</v>
      </c>
      <c r="E157" s="47" t="s">
        <v>25</v>
      </c>
      <c r="F157" s="47" t="s">
        <v>17</v>
      </c>
      <c r="G157" s="47">
        <v>2</v>
      </c>
      <c r="H157" s="38"/>
      <c r="I157" s="47"/>
      <c r="J157" s="363" t="s">
        <v>449</v>
      </c>
      <c r="K157" s="251" t="s">
        <v>28</v>
      </c>
      <c r="L157" s="47" t="s">
        <v>17</v>
      </c>
      <c r="M157" s="48" t="s">
        <v>26</v>
      </c>
      <c r="N157" s="73"/>
      <c r="O157" s="47">
        <v>0</v>
      </c>
      <c r="P157" s="47"/>
      <c r="Q157" s="61"/>
      <c r="R157" s="222">
        <v>2</v>
      </c>
      <c r="S157" s="155"/>
    </row>
    <row r="158" spans="1:19" x14ac:dyDescent="0.25">
      <c r="A158" s="435"/>
      <c r="B158" s="48" t="s">
        <v>440</v>
      </c>
      <c r="C158" s="48" t="s">
        <v>23</v>
      </c>
      <c r="D158" s="47" t="s">
        <v>46</v>
      </c>
      <c r="E158" s="47" t="s">
        <v>25</v>
      </c>
      <c r="F158" s="47" t="s">
        <v>18</v>
      </c>
      <c r="G158" s="47"/>
      <c r="H158" s="47">
        <v>1</v>
      </c>
      <c r="I158" s="47"/>
      <c r="J158" s="363" t="s">
        <v>449</v>
      </c>
      <c r="K158" s="251" t="s">
        <v>28</v>
      </c>
      <c r="L158" s="47" t="s">
        <v>17</v>
      </c>
      <c r="M158" s="48" t="s">
        <v>26</v>
      </c>
      <c r="N158" s="73"/>
      <c r="O158" s="47"/>
      <c r="P158" s="47">
        <v>0</v>
      </c>
      <c r="Q158" s="61"/>
      <c r="R158" s="222"/>
      <c r="S158" s="155">
        <v>1</v>
      </c>
    </row>
    <row r="159" spans="1:19" ht="15.75" customHeight="1" x14ac:dyDescent="0.25">
      <c r="A159" s="435"/>
      <c r="B159" s="48" t="s">
        <v>441</v>
      </c>
      <c r="C159" s="48" t="s">
        <v>23</v>
      </c>
      <c r="D159" s="47" t="s">
        <v>46</v>
      </c>
      <c r="E159" s="47" t="s">
        <v>25</v>
      </c>
      <c r="F159" s="47" t="s">
        <v>17</v>
      </c>
      <c r="G159" s="47">
        <v>2</v>
      </c>
      <c r="H159" s="38"/>
      <c r="I159" s="47"/>
      <c r="J159" s="251" t="s">
        <v>407</v>
      </c>
      <c r="K159" s="48" t="s">
        <v>43</v>
      </c>
      <c r="L159" s="331" t="s">
        <v>17</v>
      </c>
      <c r="M159" s="363" t="s">
        <v>26</v>
      </c>
      <c r="N159" s="73"/>
      <c r="O159" s="47">
        <v>1</v>
      </c>
      <c r="P159" s="47"/>
      <c r="Q159" s="61"/>
      <c r="R159" s="222">
        <f t="shared" ref="R159" si="51">G159*O159</f>
        <v>2</v>
      </c>
      <c r="S159" s="155"/>
    </row>
    <row r="160" spans="1:19" ht="15.75" customHeight="1" x14ac:dyDescent="0.25">
      <c r="A160" s="435"/>
      <c r="B160" s="48" t="s">
        <v>441</v>
      </c>
      <c r="C160" s="48" t="s">
        <v>23</v>
      </c>
      <c r="D160" s="47" t="s">
        <v>46</v>
      </c>
      <c r="E160" s="47" t="s">
        <v>25</v>
      </c>
      <c r="F160" s="47" t="s">
        <v>18</v>
      </c>
      <c r="G160" s="47"/>
      <c r="H160" s="47">
        <v>1</v>
      </c>
      <c r="I160" s="47"/>
      <c r="J160" s="251" t="s">
        <v>407</v>
      </c>
      <c r="K160" s="48" t="s">
        <v>43</v>
      </c>
      <c r="L160" s="331" t="s">
        <v>17</v>
      </c>
      <c r="M160" s="363" t="s">
        <v>26</v>
      </c>
      <c r="N160" s="73"/>
      <c r="O160" s="47"/>
      <c r="P160" s="47">
        <v>1</v>
      </c>
      <c r="Q160" s="61"/>
      <c r="R160" s="222"/>
      <c r="S160" s="155">
        <f t="shared" ref="S160" si="52">H160*P160</f>
        <v>1</v>
      </c>
    </row>
    <row r="161" spans="1:31" ht="15.75" customHeight="1" x14ac:dyDescent="0.25">
      <c r="A161" s="434">
        <v>18</v>
      </c>
      <c r="B161" s="48" t="s">
        <v>205</v>
      </c>
      <c r="C161" s="48" t="s">
        <v>23</v>
      </c>
      <c r="D161" s="47" t="s">
        <v>46</v>
      </c>
      <c r="E161" s="47" t="s">
        <v>25</v>
      </c>
      <c r="F161" s="47" t="s">
        <v>17</v>
      </c>
      <c r="G161" s="47">
        <v>0</v>
      </c>
      <c r="H161" s="38"/>
      <c r="I161" s="47"/>
      <c r="J161" s="363" t="s">
        <v>458</v>
      </c>
      <c r="K161" s="48" t="s">
        <v>82</v>
      </c>
      <c r="L161" s="122" t="s">
        <v>17</v>
      </c>
      <c r="M161" s="251" t="s">
        <v>26</v>
      </c>
      <c r="N161" s="73"/>
      <c r="O161" s="47">
        <v>1</v>
      </c>
      <c r="P161" s="47"/>
      <c r="Q161" s="61"/>
      <c r="R161" s="222">
        <f t="shared" si="39"/>
        <v>0</v>
      </c>
      <c r="S161" s="155"/>
    </row>
    <row r="162" spans="1:31" x14ac:dyDescent="0.25">
      <c r="A162" s="435"/>
      <c r="B162" s="48" t="s">
        <v>205</v>
      </c>
      <c r="C162" s="48" t="s">
        <v>23</v>
      </c>
      <c r="D162" s="47" t="s">
        <v>46</v>
      </c>
      <c r="E162" s="47" t="s">
        <v>25</v>
      </c>
      <c r="F162" s="47" t="s">
        <v>18</v>
      </c>
      <c r="G162" s="47"/>
      <c r="H162" s="47">
        <v>4</v>
      </c>
      <c r="I162" s="47"/>
      <c r="J162" s="363" t="s">
        <v>458</v>
      </c>
      <c r="K162" s="48" t="s">
        <v>82</v>
      </c>
      <c r="L162" s="122" t="s">
        <v>17</v>
      </c>
      <c r="M162" s="251" t="s">
        <v>26</v>
      </c>
      <c r="N162" s="124"/>
      <c r="O162" s="367"/>
      <c r="P162" s="367">
        <v>1</v>
      </c>
      <c r="Q162" s="125"/>
      <c r="R162" s="224"/>
      <c r="S162" s="237">
        <f t="shared" si="39"/>
        <v>4</v>
      </c>
    </row>
    <row r="163" spans="1:31" ht="38.25" x14ac:dyDescent="0.25">
      <c r="A163" s="435">
        <v>19</v>
      </c>
      <c r="B163" s="225" t="s">
        <v>518</v>
      </c>
      <c r="C163" s="48" t="s">
        <v>23</v>
      </c>
      <c r="D163" s="47" t="s">
        <v>85</v>
      </c>
      <c r="E163" s="47" t="s">
        <v>25</v>
      </c>
      <c r="F163" s="47" t="s">
        <v>17</v>
      </c>
      <c r="G163" s="47">
        <v>2</v>
      </c>
      <c r="H163" s="47"/>
      <c r="I163" s="47"/>
      <c r="J163" s="363" t="s">
        <v>458</v>
      </c>
      <c r="K163" s="48" t="s">
        <v>82</v>
      </c>
      <c r="L163" s="122" t="s">
        <v>17</v>
      </c>
      <c r="M163" s="251" t="s">
        <v>26</v>
      </c>
      <c r="N163" s="124"/>
      <c r="O163" s="367">
        <v>1</v>
      </c>
      <c r="P163" s="367"/>
      <c r="Q163" s="125"/>
      <c r="R163" s="223">
        <f t="shared" ref="R163:R165" si="53">G163*O163</f>
        <v>2</v>
      </c>
      <c r="S163" s="155"/>
    </row>
    <row r="164" spans="1:31" ht="38.25" x14ac:dyDescent="0.25">
      <c r="A164" s="435"/>
      <c r="B164" s="225" t="s">
        <v>518</v>
      </c>
      <c r="C164" s="48" t="s">
        <v>23</v>
      </c>
      <c r="D164" s="47" t="s">
        <v>85</v>
      </c>
      <c r="E164" s="47" t="s">
        <v>25</v>
      </c>
      <c r="F164" s="47" t="s">
        <v>18</v>
      </c>
      <c r="G164" s="47"/>
      <c r="H164" s="47">
        <v>3</v>
      </c>
      <c r="I164" s="47"/>
      <c r="J164" s="363" t="s">
        <v>458</v>
      </c>
      <c r="K164" s="48" t="s">
        <v>82</v>
      </c>
      <c r="L164" s="331" t="s">
        <v>17</v>
      </c>
      <c r="M164" s="363" t="s">
        <v>26</v>
      </c>
      <c r="N164" s="124"/>
      <c r="O164" s="367"/>
      <c r="P164" s="367">
        <v>1</v>
      </c>
      <c r="Q164" s="125"/>
      <c r="R164" s="223"/>
      <c r="S164" s="155">
        <f t="shared" ref="S164:S166" si="54">H164*P164</f>
        <v>3</v>
      </c>
    </row>
    <row r="165" spans="1:31" ht="51" x14ac:dyDescent="0.25">
      <c r="A165" s="435">
        <v>20</v>
      </c>
      <c r="B165" s="225" t="s">
        <v>443</v>
      </c>
      <c r="C165" s="48" t="s">
        <v>23</v>
      </c>
      <c r="D165" s="47" t="s">
        <v>85</v>
      </c>
      <c r="E165" s="47" t="s">
        <v>25</v>
      </c>
      <c r="F165" s="47" t="s">
        <v>17</v>
      </c>
      <c r="G165" s="47">
        <v>2</v>
      </c>
      <c r="H165" s="47"/>
      <c r="I165" s="47"/>
      <c r="J165" s="55" t="s">
        <v>451</v>
      </c>
      <c r="K165" s="298" t="s">
        <v>28</v>
      </c>
      <c r="L165" s="73" t="s">
        <v>17</v>
      </c>
      <c r="M165" s="55" t="s">
        <v>26</v>
      </c>
      <c r="N165" s="124"/>
      <c r="O165" s="367">
        <v>1</v>
      </c>
      <c r="P165" s="367"/>
      <c r="Q165" s="125"/>
      <c r="R165" s="223">
        <f t="shared" si="53"/>
        <v>2</v>
      </c>
      <c r="S165" s="155"/>
    </row>
    <row r="166" spans="1:31" ht="51" x14ac:dyDescent="0.25">
      <c r="A166" s="435"/>
      <c r="B166" s="225" t="s">
        <v>443</v>
      </c>
      <c r="C166" s="48" t="s">
        <v>23</v>
      </c>
      <c r="D166" s="47" t="s">
        <v>85</v>
      </c>
      <c r="E166" s="47" t="s">
        <v>25</v>
      </c>
      <c r="F166" s="47" t="s">
        <v>18</v>
      </c>
      <c r="G166" s="47"/>
      <c r="H166" s="47">
        <v>3</v>
      </c>
      <c r="I166" s="47"/>
      <c r="J166" s="55" t="s">
        <v>551</v>
      </c>
      <c r="K166" s="48" t="s">
        <v>195</v>
      </c>
      <c r="L166" s="122" t="s">
        <v>17</v>
      </c>
      <c r="M166" s="251" t="s">
        <v>26</v>
      </c>
      <c r="N166" s="124"/>
      <c r="O166" s="367"/>
      <c r="P166" s="367">
        <v>1</v>
      </c>
      <c r="Q166" s="125"/>
      <c r="R166" s="223"/>
      <c r="S166" s="155">
        <f t="shared" si="54"/>
        <v>3</v>
      </c>
    </row>
    <row r="167" spans="1:31" ht="25.5" x14ac:dyDescent="0.25">
      <c r="A167" s="435">
        <v>21</v>
      </c>
      <c r="B167" s="225" t="s">
        <v>444</v>
      </c>
      <c r="C167" s="48" t="s">
        <v>23</v>
      </c>
      <c r="D167" s="47" t="s">
        <v>85</v>
      </c>
      <c r="E167" s="47" t="s">
        <v>25</v>
      </c>
      <c r="F167" s="47" t="s">
        <v>17</v>
      </c>
      <c r="G167" s="47">
        <v>2</v>
      </c>
      <c r="H167" s="47"/>
      <c r="I167" s="47"/>
      <c r="J167" s="363" t="s">
        <v>410</v>
      </c>
      <c r="K167" s="363" t="s">
        <v>43</v>
      </c>
      <c r="L167" s="331" t="s">
        <v>17</v>
      </c>
      <c r="M167" s="363" t="s">
        <v>26</v>
      </c>
      <c r="N167" s="124"/>
      <c r="O167" s="367">
        <v>1</v>
      </c>
      <c r="P167" s="367"/>
      <c r="Q167" s="125"/>
      <c r="R167" s="223">
        <f t="shared" ref="R167:R175" si="55">G167*O167</f>
        <v>2</v>
      </c>
      <c r="S167" s="155"/>
    </row>
    <row r="168" spans="1:31" ht="25.5" x14ac:dyDescent="0.25">
      <c r="A168" s="435"/>
      <c r="B168" s="225" t="s">
        <v>444</v>
      </c>
      <c r="C168" s="48" t="s">
        <v>23</v>
      </c>
      <c r="D168" s="47" t="s">
        <v>85</v>
      </c>
      <c r="E168" s="47" t="s">
        <v>25</v>
      </c>
      <c r="F168" s="47" t="s">
        <v>18</v>
      </c>
      <c r="G168" s="47"/>
      <c r="H168" s="47">
        <v>2</v>
      </c>
      <c r="I168" s="47"/>
      <c r="J168" s="414" t="s">
        <v>410</v>
      </c>
      <c r="K168" s="414" t="s">
        <v>43</v>
      </c>
      <c r="L168" s="331" t="s">
        <v>17</v>
      </c>
      <c r="M168" s="363" t="s">
        <v>26</v>
      </c>
      <c r="N168" s="124"/>
      <c r="O168" s="367"/>
      <c r="P168" s="367">
        <v>1</v>
      </c>
      <c r="Q168" s="125"/>
      <c r="R168" s="223"/>
      <c r="S168" s="155">
        <f t="shared" ref="S168:S176" si="56">H168*P168</f>
        <v>2</v>
      </c>
    </row>
    <row r="169" spans="1:31" x14ac:dyDescent="0.25">
      <c r="A169" s="447">
        <v>22</v>
      </c>
      <c r="B169" s="226" t="s">
        <v>268</v>
      </c>
      <c r="C169" s="48" t="s">
        <v>23</v>
      </c>
      <c r="D169" s="47" t="s">
        <v>85</v>
      </c>
      <c r="E169" s="47" t="s">
        <v>25</v>
      </c>
      <c r="F169" s="47" t="s">
        <v>17</v>
      </c>
      <c r="G169" s="47">
        <v>2</v>
      </c>
      <c r="H169" s="47"/>
      <c r="I169" s="47"/>
      <c r="J169" s="363" t="s">
        <v>460</v>
      </c>
      <c r="K169" s="363" t="s">
        <v>82</v>
      </c>
      <c r="L169" s="331" t="s">
        <v>37</v>
      </c>
      <c r="M169" s="363" t="s">
        <v>515</v>
      </c>
      <c r="N169" s="124"/>
      <c r="O169" s="367">
        <v>1</v>
      </c>
      <c r="P169" s="367"/>
      <c r="Q169" s="125"/>
      <c r="R169" s="223">
        <f t="shared" si="55"/>
        <v>2</v>
      </c>
      <c r="S169" s="155"/>
    </row>
    <row r="170" spans="1:31" ht="15.75" customHeight="1" x14ac:dyDescent="0.25">
      <c r="A170" s="447"/>
      <c r="B170" s="226" t="s">
        <v>268</v>
      </c>
      <c r="C170" s="48" t="s">
        <v>23</v>
      </c>
      <c r="D170" s="47" t="s">
        <v>85</v>
      </c>
      <c r="E170" s="47" t="s">
        <v>25</v>
      </c>
      <c r="F170" s="47" t="s">
        <v>18</v>
      </c>
      <c r="G170" s="47"/>
      <c r="H170" s="47">
        <v>1</v>
      </c>
      <c r="I170" s="47"/>
      <c r="J170" s="251" t="s">
        <v>384</v>
      </c>
      <c r="K170" s="363" t="s">
        <v>31</v>
      </c>
      <c r="L170" s="47" t="s">
        <v>17</v>
      </c>
      <c r="M170" s="48" t="s">
        <v>26</v>
      </c>
      <c r="N170" s="124"/>
      <c r="O170" s="367"/>
      <c r="P170" s="367">
        <v>1</v>
      </c>
      <c r="Q170" s="125"/>
      <c r="R170" s="223"/>
      <c r="S170" s="155">
        <f t="shared" si="56"/>
        <v>1</v>
      </c>
    </row>
    <row r="171" spans="1:31" ht="26.25" x14ac:dyDescent="0.25">
      <c r="A171" s="447"/>
      <c r="B171" s="227" t="s">
        <v>269</v>
      </c>
      <c r="C171" s="48" t="s">
        <v>23</v>
      </c>
      <c r="D171" s="47" t="s">
        <v>85</v>
      </c>
      <c r="E171" s="47" t="s">
        <v>25</v>
      </c>
      <c r="F171" s="47" t="s">
        <v>17</v>
      </c>
      <c r="G171" s="47">
        <v>2</v>
      </c>
      <c r="H171" s="47"/>
      <c r="I171" s="47"/>
      <c r="J171" s="55" t="s">
        <v>451</v>
      </c>
      <c r="K171" s="298" t="s">
        <v>28</v>
      </c>
      <c r="L171" s="73" t="s">
        <v>17</v>
      </c>
      <c r="M171" s="55" t="s">
        <v>26</v>
      </c>
      <c r="N171" s="124"/>
      <c r="O171" s="367">
        <v>0</v>
      </c>
      <c r="P171" s="367"/>
      <c r="Q171" s="125"/>
      <c r="R171" s="223">
        <f t="shared" ref="R171" si="57">G171*O171</f>
        <v>0</v>
      </c>
      <c r="S171" s="155"/>
    </row>
    <row r="172" spans="1:31" ht="26.25" x14ac:dyDescent="0.25">
      <c r="A172" s="447"/>
      <c r="B172" s="227" t="s">
        <v>269</v>
      </c>
      <c r="C172" s="48" t="s">
        <v>23</v>
      </c>
      <c r="D172" s="47" t="s">
        <v>85</v>
      </c>
      <c r="E172" s="47" t="s">
        <v>25</v>
      </c>
      <c r="F172" s="47" t="s">
        <v>18</v>
      </c>
      <c r="G172" s="47"/>
      <c r="H172" s="47">
        <v>1</v>
      </c>
      <c r="I172" s="47"/>
      <c r="J172" s="55" t="s">
        <v>451</v>
      </c>
      <c r="K172" s="298" t="s">
        <v>28</v>
      </c>
      <c r="L172" s="122" t="s">
        <v>17</v>
      </c>
      <c r="M172" s="251" t="s">
        <v>26</v>
      </c>
      <c r="N172" s="124"/>
      <c r="O172" s="367"/>
      <c r="P172" s="367">
        <v>0</v>
      </c>
      <c r="Q172" s="125"/>
      <c r="R172" s="223"/>
      <c r="S172" s="155">
        <f t="shared" ref="S172" si="58">H172*P172</f>
        <v>0</v>
      </c>
    </row>
    <row r="173" spans="1:31" x14ac:dyDescent="0.25">
      <c r="A173" s="447"/>
      <c r="B173" s="227" t="s">
        <v>442</v>
      </c>
      <c r="C173" s="48" t="s">
        <v>23</v>
      </c>
      <c r="D173" s="47" t="s">
        <v>85</v>
      </c>
      <c r="E173" s="47" t="s">
        <v>25</v>
      </c>
      <c r="F173" s="47" t="s">
        <v>17</v>
      </c>
      <c r="G173" s="47">
        <v>2</v>
      </c>
      <c r="H173" s="47"/>
      <c r="I173" s="47"/>
      <c r="J173" s="251" t="s">
        <v>407</v>
      </c>
      <c r="K173" s="48" t="s">
        <v>43</v>
      </c>
      <c r="L173" s="331" t="s">
        <v>17</v>
      </c>
      <c r="M173" s="363" t="s">
        <v>26</v>
      </c>
      <c r="N173" s="124"/>
      <c r="O173" s="367">
        <v>1</v>
      </c>
      <c r="P173" s="367"/>
      <c r="Q173" s="125"/>
      <c r="R173" s="223">
        <f t="shared" ref="R173" si="59">G173*O173</f>
        <v>2</v>
      </c>
      <c r="S173" s="155"/>
    </row>
    <row r="174" spans="1:31" x14ac:dyDescent="0.25">
      <c r="A174" s="448"/>
      <c r="B174" s="227" t="s">
        <v>442</v>
      </c>
      <c r="C174" s="48" t="s">
        <v>23</v>
      </c>
      <c r="D174" s="47" t="s">
        <v>85</v>
      </c>
      <c r="E174" s="47" t="s">
        <v>25</v>
      </c>
      <c r="F174" s="47" t="s">
        <v>18</v>
      </c>
      <c r="G174" s="47"/>
      <c r="H174" s="47">
        <v>1</v>
      </c>
      <c r="I174" s="47"/>
      <c r="J174" s="251" t="s">
        <v>407</v>
      </c>
      <c r="K174" s="48" t="s">
        <v>43</v>
      </c>
      <c r="L174" s="331" t="s">
        <v>17</v>
      </c>
      <c r="M174" s="363" t="s">
        <v>26</v>
      </c>
      <c r="N174" s="124"/>
      <c r="O174" s="367"/>
      <c r="P174" s="367">
        <v>1</v>
      </c>
      <c r="Q174" s="125"/>
      <c r="R174" s="223"/>
      <c r="S174" s="155">
        <f t="shared" ref="S174" si="60">H174*P174</f>
        <v>1</v>
      </c>
    </row>
    <row r="175" spans="1:31" ht="15.75" customHeight="1" x14ac:dyDescent="0.25">
      <c r="A175" s="435">
        <v>23</v>
      </c>
      <c r="B175" s="225" t="s">
        <v>270</v>
      </c>
      <c r="C175" s="48" t="s">
        <v>23</v>
      </c>
      <c r="D175" s="47" t="s">
        <v>85</v>
      </c>
      <c r="E175" s="47" t="s">
        <v>25</v>
      </c>
      <c r="F175" s="47" t="s">
        <v>17</v>
      </c>
      <c r="G175" s="47">
        <v>0</v>
      </c>
      <c r="H175" s="47"/>
      <c r="I175" s="47"/>
      <c r="J175" s="48" t="s">
        <v>458</v>
      </c>
      <c r="K175" s="48" t="s">
        <v>82</v>
      </c>
      <c r="L175" s="47" t="s">
        <v>17</v>
      </c>
      <c r="M175" s="48" t="s">
        <v>26</v>
      </c>
      <c r="N175" s="124"/>
      <c r="O175" s="367">
        <v>1</v>
      </c>
      <c r="P175" s="367"/>
      <c r="Q175" s="125"/>
      <c r="R175" s="223">
        <f t="shared" si="55"/>
        <v>0</v>
      </c>
      <c r="S175" s="155"/>
    </row>
    <row r="176" spans="1:31" s="61" customFormat="1" ht="15.75" customHeight="1" x14ac:dyDescent="0.25">
      <c r="A176" s="435"/>
      <c r="B176" s="225" t="s">
        <v>270</v>
      </c>
      <c r="C176" s="48" t="s">
        <v>23</v>
      </c>
      <c r="D176" s="47" t="s">
        <v>85</v>
      </c>
      <c r="E176" s="47" t="s">
        <v>25</v>
      </c>
      <c r="F176" s="47" t="s">
        <v>18</v>
      </c>
      <c r="G176" s="47"/>
      <c r="H176" s="331">
        <v>3</v>
      </c>
      <c r="I176" s="331"/>
      <c r="J176" s="363" t="s">
        <v>458</v>
      </c>
      <c r="K176" s="48" t="s">
        <v>82</v>
      </c>
      <c r="L176" s="331" t="s">
        <v>17</v>
      </c>
      <c r="M176" s="365" t="s">
        <v>26</v>
      </c>
      <c r="N176" s="122"/>
      <c r="O176" s="331"/>
      <c r="P176" s="331">
        <v>1</v>
      </c>
      <c r="Q176" s="62"/>
      <c r="R176" s="390"/>
      <c r="S176" s="155">
        <f t="shared" si="56"/>
        <v>3</v>
      </c>
      <c r="T176"/>
      <c r="U176"/>
      <c r="V176"/>
      <c r="W176"/>
      <c r="X176"/>
      <c r="Y176"/>
      <c r="Z176"/>
      <c r="AA176"/>
      <c r="AB176"/>
      <c r="AC176"/>
      <c r="AD176"/>
      <c r="AE176"/>
    </row>
    <row r="177" spans="1:19" ht="15.75" customHeight="1" x14ac:dyDescent="0.25">
      <c r="A177" s="246"/>
      <c r="B177" s="279"/>
      <c r="C177" s="279"/>
      <c r="D177" s="280"/>
      <c r="E177" s="280"/>
      <c r="F177" s="280"/>
      <c r="G177" s="280">
        <f>SUM(G101:G176)</f>
        <v>62</v>
      </c>
      <c r="H177" s="280">
        <f>SUM(H101:H176)</f>
        <v>74</v>
      </c>
      <c r="I177" s="280"/>
      <c r="J177" s="279"/>
      <c r="K177" s="279"/>
      <c r="L177" s="280"/>
      <c r="M177" s="279"/>
      <c r="N177" s="284"/>
      <c r="O177" s="280"/>
      <c r="P177" s="284"/>
      <c r="Q177" s="155"/>
      <c r="R177" s="270"/>
      <c r="S177" s="155"/>
    </row>
    <row r="178" spans="1:19" ht="26.25" customHeight="1" x14ac:dyDescent="0.25">
      <c r="A178" s="2"/>
      <c r="B178" s="3"/>
      <c r="C178" s="3"/>
      <c r="D178" s="2"/>
      <c r="E178" s="2"/>
      <c r="F178" s="2"/>
      <c r="G178" s="4"/>
      <c r="H178" s="2"/>
      <c r="I178" s="2"/>
      <c r="J178" s="5"/>
      <c r="K178" s="5"/>
      <c r="L178" s="2"/>
      <c r="M178" s="5"/>
    </row>
    <row r="179" spans="1:19" ht="26.25" customHeight="1" x14ac:dyDescent="0.25">
      <c r="A179" s="6"/>
      <c r="B179" s="306" t="s">
        <v>103</v>
      </c>
      <c r="C179" s="306"/>
      <c r="D179" s="307"/>
      <c r="E179" s="307"/>
      <c r="F179" s="307"/>
      <c r="G179" s="307"/>
      <c r="H179" s="306"/>
      <c r="I179" s="306"/>
      <c r="J179" s="307"/>
      <c r="K179" s="7"/>
      <c r="L179" s="7"/>
      <c r="M179" s="7"/>
    </row>
    <row r="180" spans="1:19" ht="15" customHeight="1" x14ac:dyDescent="0.25">
      <c r="A180" s="2"/>
      <c r="B180" s="5"/>
      <c r="C180" s="5"/>
      <c r="D180" s="2"/>
      <c r="E180" s="2"/>
      <c r="F180" s="2"/>
      <c r="G180" s="2"/>
      <c r="H180" s="2"/>
      <c r="I180" s="2"/>
      <c r="J180" s="5"/>
      <c r="K180" s="5"/>
      <c r="L180" s="2"/>
      <c r="M180" s="5"/>
    </row>
    <row r="181" spans="1:19" ht="26.25" customHeight="1" x14ac:dyDescent="0.25">
      <c r="A181" s="2"/>
      <c r="B181" s="308" t="s">
        <v>0</v>
      </c>
      <c r="C181" s="46"/>
      <c r="D181" s="8"/>
      <c r="E181" s="8"/>
      <c r="F181" s="2"/>
      <c r="G181" s="2"/>
      <c r="H181" s="2"/>
      <c r="I181" s="2"/>
      <c r="J181" s="5"/>
      <c r="K181" s="5"/>
      <c r="L181" s="2"/>
      <c r="M181" s="5"/>
    </row>
    <row r="182" spans="1:19" ht="18" customHeight="1" x14ac:dyDescent="0.25">
      <c r="A182" s="2"/>
      <c r="B182" s="5"/>
      <c r="C182" s="5"/>
      <c r="D182" s="2"/>
      <c r="E182" s="2"/>
      <c r="F182" s="2"/>
      <c r="G182" s="2"/>
      <c r="H182" s="2"/>
      <c r="I182" s="2"/>
      <c r="J182" s="5"/>
      <c r="K182" s="5"/>
      <c r="L182" s="2"/>
      <c r="M182" s="5"/>
    </row>
    <row r="183" spans="1:19" ht="26.25" customHeight="1" thickBot="1" x14ac:dyDescent="0.3">
      <c r="A183" s="9" t="s">
        <v>1</v>
      </c>
      <c r="B183" s="504" t="s">
        <v>2</v>
      </c>
      <c r="C183" s="372" t="s">
        <v>3</v>
      </c>
      <c r="D183" s="375" t="s">
        <v>4</v>
      </c>
      <c r="E183" s="10" t="s">
        <v>5</v>
      </c>
      <c r="F183" s="10" t="s">
        <v>6</v>
      </c>
      <c r="G183" s="11"/>
      <c r="H183" s="12" t="s">
        <v>7</v>
      </c>
      <c r="I183" s="13"/>
      <c r="J183" s="498" t="s">
        <v>8</v>
      </c>
      <c r="K183" s="14" t="s">
        <v>9</v>
      </c>
      <c r="L183" s="10" t="s">
        <v>10</v>
      </c>
      <c r="M183" s="369" t="s">
        <v>11</v>
      </c>
      <c r="N183" s="59" t="s">
        <v>12</v>
      </c>
      <c r="O183" s="63"/>
      <c r="P183" s="63" t="s">
        <v>13</v>
      </c>
      <c r="Q183" s="63"/>
      <c r="R183" s="488" t="s">
        <v>201</v>
      </c>
      <c r="S183" s="489"/>
    </row>
    <row r="184" spans="1:19" ht="26.25" customHeight="1" x14ac:dyDescent="0.25">
      <c r="A184" s="181" t="s">
        <v>14</v>
      </c>
      <c r="B184" s="499"/>
      <c r="C184" s="182"/>
      <c r="D184" s="183"/>
      <c r="E184" s="181" t="s">
        <v>15</v>
      </c>
      <c r="F184" s="181" t="s">
        <v>16</v>
      </c>
      <c r="G184" s="181" t="s">
        <v>17</v>
      </c>
      <c r="H184" s="181" t="s">
        <v>18</v>
      </c>
      <c r="I184" s="181" t="s">
        <v>19</v>
      </c>
      <c r="J184" s="499"/>
      <c r="K184" s="184"/>
      <c r="L184" s="185"/>
      <c r="M184" s="374" t="s">
        <v>20</v>
      </c>
      <c r="N184" s="186" t="s">
        <v>21</v>
      </c>
      <c r="O184" s="181" t="s">
        <v>17</v>
      </c>
      <c r="P184" s="181" t="s">
        <v>18</v>
      </c>
      <c r="Q184" s="181" t="s">
        <v>19</v>
      </c>
      <c r="R184" s="181" t="s">
        <v>17</v>
      </c>
      <c r="S184" s="181" t="s">
        <v>18</v>
      </c>
    </row>
    <row r="185" spans="1:19" s="61" customFormat="1" ht="25.5" x14ac:dyDescent="0.25">
      <c r="A185" s="434">
        <v>1</v>
      </c>
      <c r="B185" s="48" t="s">
        <v>69</v>
      </c>
      <c r="C185" s="48" t="s">
        <v>104</v>
      </c>
      <c r="D185" s="47" t="s">
        <v>24</v>
      </c>
      <c r="E185" s="47" t="s">
        <v>25</v>
      </c>
      <c r="F185" s="47" t="s">
        <v>17</v>
      </c>
      <c r="G185" s="47">
        <v>2</v>
      </c>
      <c r="H185" s="47"/>
      <c r="I185" s="47"/>
      <c r="J185" s="150" t="s">
        <v>448</v>
      </c>
      <c r="K185" s="48" t="s">
        <v>82</v>
      </c>
      <c r="L185" s="56" t="s">
        <v>37</v>
      </c>
      <c r="M185" s="48" t="s">
        <v>423</v>
      </c>
      <c r="N185" s="362"/>
      <c r="O185" s="362">
        <v>1</v>
      </c>
      <c r="P185" s="362"/>
      <c r="R185" s="223">
        <f t="shared" ref="R185:S218" si="61">G185*O185</f>
        <v>2</v>
      </c>
      <c r="S185" s="155"/>
    </row>
    <row r="186" spans="1:19" s="61" customFormat="1" ht="15.75" customHeight="1" x14ac:dyDescent="0.25">
      <c r="A186" s="435"/>
      <c r="B186" s="48" t="s">
        <v>69</v>
      </c>
      <c r="C186" s="48" t="s">
        <v>104</v>
      </c>
      <c r="D186" s="47" t="s">
        <v>24</v>
      </c>
      <c r="E186" s="47" t="s">
        <v>25</v>
      </c>
      <c r="F186" s="47" t="s">
        <v>18</v>
      </c>
      <c r="G186" s="47"/>
      <c r="H186" s="47">
        <v>2</v>
      </c>
      <c r="I186" s="47"/>
      <c r="J186" s="33" t="s">
        <v>551</v>
      </c>
      <c r="K186" s="48" t="s">
        <v>195</v>
      </c>
      <c r="L186" s="34" t="s">
        <v>17</v>
      </c>
      <c r="M186" s="48" t="s">
        <v>26</v>
      </c>
      <c r="N186" s="362"/>
      <c r="O186" s="362"/>
      <c r="P186" s="362">
        <v>1</v>
      </c>
      <c r="R186" s="223"/>
      <c r="S186" s="155">
        <f t="shared" si="61"/>
        <v>2</v>
      </c>
    </row>
    <row r="187" spans="1:19" s="61" customFormat="1" ht="25.5" x14ac:dyDescent="0.25">
      <c r="A187" s="434">
        <v>2</v>
      </c>
      <c r="B187" s="48" t="s">
        <v>105</v>
      </c>
      <c r="C187" s="48" t="s">
        <v>104</v>
      </c>
      <c r="D187" s="47" t="s">
        <v>24</v>
      </c>
      <c r="E187" s="47" t="s">
        <v>25</v>
      </c>
      <c r="F187" s="47" t="s">
        <v>17</v>
      </c>
      <c r="G187" s="47">
        <v>2</v>
      </c>
      <c r="H187" s="47"/>
      <c r="I187" s="47"/>
      <c r="J187" s="33" t="s">
        <v>501</v>
      </c>
      <c r="K187" s="48" t="s">
        <v>28</v>
      </c>
      <c r="L187" s="34" t="s">
        <v>41</v>
      </c>
      <c r="M187" s="48" t="s">
        <v>107</v>
      </c>
      <c r="N187" s="362"/>
      <c r="O187" s="362">
        <v>1</v>
      </c>
      <c r="P187" s="362"/>
      <c r="R187" s="223">
        <f t="shared" si="61"/>
        <v>2</v>
      </c>
      <c r="S187" s="155"/>
    </row>
    <row r="188" spans="1:19" s="61" customFormat="1" ht="25.5" x14ac:dyDescent="0.25">
      <c r="A188" s="435"/>
      <c r="B188" s="48" t="s">
        <v>105</v>
      </c>
      <c r="C188" s="48" t="s">
        <v>104</v>
      </c>
      <c r="D188" s="47" t="s">
        <v>24</v>
      </c>
      <c r="E188" s="47" t="s">
        <v>25</v>
      </c>
      <c r="F188" s="47" t="s">
        <v>18</v>
      </c>
      <c r="G188" s="47"/>
      <c r="H188" s="47">
        <v>2</v>
      </c>
      <c r="I188" s="47"/>
      <c r="J188" s="33" t="s">
        <v>501</v>
      </c>
      <c r="K188" s="48" t="s">
        <v>28</v>
      </c>
      <c r="L188" s="34" t="s">
        <v>41</v>
      </c>
      <c r="M188" s="48" t="s">
        <v>107</v>
      </c>
      <c r="N188" s="362"/>
      <c r="O188" s="362"/>
      <c r="P188" s="362">
        <v>1</v>
      </c>
      <c r="R188" s="223"/>
      <c r="S188" s="155">
        <f t="shared" si="61"/>
        <v>2</v>
      </c>
    </row>
    <row r="189" spans="1:19" s="61" customFormat="1" ht="25.5" x14ac:dyDescent="0.25">
      <c r="A189" s="434" t="s">
        <v>29</v>
      </c>
      <c r="B189" s="48" t="s">
        <v>108</v>
      </c>
      <c r="C189" s="48" t="s">
        <v>104</v>
      </c>
      <c r="D189" s="47" t="s">
        <v>24</v>
      </c>
      <c r="E189" s="47" t="s">
        <v>25</v>
      </c>
      <c r="F189" s="47" t="s">
        <v>17</v>
      </c>
      <c r="G189" s="47">
        <v>2</v>
      </c>
      <c r="H189" s="47"/>
      <c r="I189" s="47"/>
      <c r="J189" s="48" t="s">
        <v>510</v>
      </c>
      <c r="K189" s="48" t="s">
        <v>82</v>
      </c>
      <c r="L189" s="34" t="s">
        <v>284</v>
      </c>
      <c r="M189" s="48" t="s">
        <v>107</v>
      </c>
      <c r="N189" s="362"/>
      <c r="O189" s="362">
        <v>1</v>
      </c>
      <c r="P189" s="362"/>
      <c r="R189" s="223">
        <f t="shared" si="61"/>
        <v>2</v>
      </c>
      <c r="S189" s="155"/>
    </row>
    <row r="190" spans="1:19" s="61" customFormat="1" ht="25.5" x14ac:dyDescent="0.25">
      <c r="A190" s="435"/>
      <c r="B190" s="48" t="s">
        <v>108</v>
      </c>
      <c r="C190" s="48" t="s">
        <v>104</v>
      </c>
      <c r="D190" s="47" t="s">
        <v>24</v>
      </c>
      <c r="E190" s="47" t="s">
        <v>25</v>
      </c>
      <c r="F190" s="47" t="s">
        <v>18</v>
      </c>
      <c r="G190" s="47"/>
      <c r="H190" s="47">
        <v>2</v>
      </c>
      <c r="I190" s="47"/>
      <c r="J190" s="363" t="s">
        <v>412</v>
      </c>
      <c r="K190" s="363" t="s">
        <v>31</v>
      </c>
      <c r="L190" s="331" t="s">
        <v>284</v>
      </c>
      <c r="M190" s="48" t="s">
        <v>107</v>
      </c>
      <c r="N190" s="362"/>
      <c r="O190" s="362"/>
      <c r="P190" s="362">
        <v>1</v>
      </c>
      <c r="R190" s="223"/>
      <c r="S190" s="155">
        <f t="shared" si="61"/>
        <v>2</v>
      </c>
    </row>
    <row r="191" spans="1:19" s="61" customFormat="1" x14ac:dyDescent="0.25">
      <c r="A191" s="434" t="s">
        <v>70</v>
      </c>
      <c r="B191" s="48" t="s">
        <v>109</v>
      </c>
      <c r="C191" s="48" t="s">
        <v>104</v>
      </c>
      <c r="D191" s="47" t="s">
        <v>24</v>
      </c>
      <c r="E191" s="47" t="s">
        <v>25</v>
      </c>
      <c r="F191" s="47" t="s">
        <v>17</v>
      </c>
      <c r="G191" s="47">
        <v>2</v>
      </c>
      <c r="H191" s="47"/>
      <c r="I191" s="47"/>
      <c r="J191" s="55" t="s">
        <v>502</v>
      </c>
      <c r="K191" s="55" t="s">
        <v>28</v>
      </c>
      <c r="L191" s="73" t="s">
        <v>37</v>
      </c>
      <c r="M191" s="55" t="s">
        <v>507</v>
      </c>
      <c r="N191" s="362"/>
      <c r="O191" s="362">
        <v>1</v>
      </c>
      <c r="P191" s="362"/>
      <c r="R191" s="223">
        <f t="shared" si="61"/>
        <v>2</v>
      </c>
      <c r="S191" s="155"/>
    </row>
    <row r="192" spans="1:19" s="61" customFormat="1" ht="15.75" customHeight="1" x14ac:dyDescent="0.25">
      <c r="A192" s="435"/>
      <c r="B192" s="48" t="s">
        <v>109</v>
      </c>
      <c r="C192" s="48" t="s">
        <v>104</v>
      </c>
      <c r="D192" s="47" t="s">
        <v>24</v>
      </c>
      <c r="E192" s="47" t="s">
        <v>25</v>
      </c>
      <c r="F192" s="47" t="s">
        <v>18</v>
      </c>
      <c r="G192" s="47"/>
      <c r="H192" s="47">
        <v>3</v>
      </c>
      <c r="I192" s="47"/>
      <c r="J192" s="251" t="s">
        <v>384</v>
      </c>
      <c r="K192" s="363" t="s">
        <v>31</v>
      </c>
      <c r="L192" s="47" t="s">
        <v>17</v>
      </c>
      <c r="M192" s="48" t="s">
        <v>26</v>
      </c>
      <c r="N192" s="362"/>
      <c r="O192" s="362"/>
      <c r="P192" s="362">
        <v>1</v>
      </c>
      <c r="R192" s="223"/>
      <c r="S192" s="155">
        <f t="shared" si="61"/>
        <v>3</v>
      </c>
    </row>
    <row r="193" spans="1:27" s="61" customFormat="1" ht="15.75" customHeight="1" x14ac:dyDescent="0.25">
      <c r="A193" s="434" t="s">
        <v>72</v>
      </c>
      <c r="B193" s="48" t="s">
        <v>111</v>
      </c>
      <c r="C193" s="48" t="s">
        <v>104</v>
      </c>
      <c r="D193" s="47" t="s">
        <v>24</v>
      </c>
      <c r="E193" s="47" t="s">
        <v>25</v>
      </c>
      <c r="F193" s="47" t="s">
        <v>17</v>
      </c>
      <c r="G193" s="47">
        <v>3</v>
      </c>
      <c r="H193" s="47"/>
      <c r="I193" s="47"/>
      <c r="J193" s="363" t="s">
        <v>449</v>
      </c>
      <c r="K193" s="251" t="s">
        <v>28</v>
      </c>
      <c r="L193" s="47" t="s">
        <v>17</v>
      </c>
      <c r="M193" s="48" t="s">
        <v>26</v>
      </c>
      <c r="N193" s="362"/>
      <c r="O193" s="362">
        <v>1</v>
      </c>
      <c r="P193" s="362"/>
      <c r="R193" s="223">
        <f t="shared" si="61"/>
        <v>3</v>
      </c>
      <c r="S193" s="155"/>
    </row>
    <row r="194" spans="1:27" s="61" customFormat="1" ht="15.75" customHeight="1" x14ac:dyDescent="0.25">
      <c r="A194" s="435"/>
      <c r="B194" s="48" t="s">
        <v>111</v>
      </c>
      <c r="C194" s="48" t="s">
        <v>104</v>
      </c>
      <c r="D194" s="47" t="s">
        <v>24</v>
      </c>
      <c r="E194" s="47" t="s">
        <v>25</v>
      </c>
      <c r="F194" s="47" t="s">
        <v>18</v>
      </c>
      <c r="G194" s="47"/>
      <c r="H194" s="47">
        <v>2</v>
      </c>
      <c r="I194" s="47"/>
      <c r="J194" s="363" t="s">
        <v>449</v>
      </c>
      <c r="K194" s="251" t="s">
        <v>28</v>
      </c>
      <c r="L194" s="47" t="s">
        <v>17</v>
      </c>
      <c r="M194" s="48" t="s">
        <v>26</v>
      </c>
      <c r="N194" s="362"/>
      <c r="O194" s="362"/>
      <c r="P194" s="362">
        <v>1</v>
      </c>
      <c r="R194" s="223"/>
      <c r="S194" s="155">
        <f t="shared" si="61"/>
        <v>2</v>
      </c>
    </row>
    <row r="195" spans="1:27" s="61" customFormat="1" ht="15.75" customHeight="1" x14ac:dyDescent="0.25">
      <c r="A195" s="434" t="s">
        <v>74</v>
      </c>
      <c r="B195" s="48" t="s">
        <v>112</v>
      </c>
      <c r="C195" s="48" t="s">
        <v>104</v>
      </c>
      <c r="D195" s="47" t="s">
        <v>24</v>
      </c>
      <c r="E195" s="47" t="s">
        <v>25</v>
      </c>
      <c r="F195" s="47" t="s">
        <v>17</v>
      </c>
      <c r="G195" s="47">
        <v>0</v>
      </c>
      <c r="H195" s="38"/>
      <c r="I195" s="47"/>
      <c r="J195" s="55" t="s">
        <v>466</v>
      </c>
      <c r="K195" s="48" t="s">
        <v>564</v>
      </c>
      <c r="L195" s="47" t="s">
        <v>17</v>
      </c>
      <c r="M195" s="48" t="s">
        <v>26</v>
      </c>
      <c r="N195" s="362"/>
      <c r="O195" s="362">
        <v>1</v>
      </c>
      <c r="P195" s="362"/>
      <c r="R195" s="223">
        <f t="shared" si="61"/>
        <v>0</v>
      </c>
      <c r="S195" s="155"/>
    </row>
    <row r="196" spans="1:27" s="61" customFormat="1" ht="15.75" customHeight="1" x14ac:dyDescent="0.25">
      <c r="A196" s="435"/>
      <c r="B196" s="48" t="s">
        <v>112</v>
      </c>
      <c r="C196" s="48" t="s">
        <v>104</v>
      </c>
      <c r="D196" s="47" t="s">
        <v>24</v>
      </c>
      <c r="E196" s="47" t="s">
        <v>25</v>
      </c>
      <c r="F196" s="47" t="s">
        <v>18</v>
      </c>
      <c r="G196" s="47"/>
      <c r="H196" s="47">
        <v>2</v>
      </c>
      <c r="I196" s="47"/>
      <c r="J196" s="251" t="s">
        <v>547</v>
      </c>
      <c r="K196" s="251" t="s">
        <v>43</v>
      </c>
      <c r="L196" s="331" t="s">
        <v>37</v>
      </c>
      <c r="M196" s="251"/>
      <c r="N196" s="362"/>
      <c r="O196" s="362"/>
      <c r="P196" s="362">
        <v>1</v>
      </c>
      <c r="R196" s="223"/>
      <c r="S196" s="155">
        <f t="shared" si="61"/>
        <v>2</v>
      </c>
    </row>
    <row r="197" spans="1:27" s="61" customFormat="1" ht="15.75" customHeight="1" x14ac:dyDescent="0.25">
      <c r="A197" s="434">
        <v>7</v>
      </c>
      <c r="B197" s="48" t="s">
        <v>113</v>
      </c>
      <c r="C197" s="48" t="s">
        <v>104</v>
      </c>
      <c r="D197" s="47" t="s">
        <v>36</v>
      </c>
      <c r="E197" s="47" t="s">
        <v>25</v>
      </c>
      <c r="F197" s="47" t="s">
        <v>17</v>
      </c>
      <c r="G197" s="47">
        <v>2</v>
      </c>
      <c r="H197" s="47"/>
      <c r="I197" s="47"/>
      <c r="J197" s="48" t="s">
        <v>453</v>
      </c>
      <c r="K197" s="359" t="s">
        <v>28</v>
      </c>
      <c r="L197" s="47" t="s">
        <v>17</v>
      </c>
      <c r="M197" s="48" t="s">
        <v>26</v>
      </c>
      <c r="N197" s="73"/>
      <c r="O197" s="362">
        <v>1</v>
      </c>
      <c r="P197" s="362"/>
      <c r="R197" s="223">
        <f t="shared" si="61"/>
        <v>2</v>
      </c>
      <c r="S197" s="155"/>
    </row>
    <row r="198" spans="1:27" s="61" customFormat="1" ht="15.75" customHeight="1" x14ac:dyDescent="0.25">
      <c r="A198" s="435"/>
      <c r="B198" s="48" t="s">
        <v>113</v>
      </c>
      <c r="C198" s="48" t="s">
        <v>104</v>
      </c>
      <c r="D198" s="47" t="s">
        <v>36</v>
      </c>
      <c r="E198" s="47" t="s">
        <v>25</v>
      </c>
      <c r="F198" s="47" t="s">
        <v>18</v>
      </c>
      <c r="G198" s="47"/>
      <c r="H198" s="47">
        <v>2</v>
      </c>
      <c r="I198" s="47"/>
      <c r="J198" s="48" t="s">
        <v>453</v>
      </c>
      <c r="K198" s="359" t="s">
        <v>28</v>
      </c>
      <c r="L198" s="34" t="s">
        <v>17</v>
      </c>
      <c r="M198" s="48" t="s">
        <v>26</v>
      </c>
      <c r="N198" s="73"/>
      <c r="O198" s="362"/>
      <c r="P198" s="362">
        <v>1</v>
      </c>
      <c r="R198" s="223"/>
      <c r="S198" s="155">
        <f t="shared" si="61"/>
        <v>2</v>
      </c>
      <c r="AA198" s="61" t="s">
        <v>199</v>
      </c>
    </row>
    <row r="199" spans="1:27" s="61" customFormat="1" ht="25.5" x14ac:dyDescent="0.25">
      <c r="A199" s="434">
        <v>8</v>
      </c>
      <c r="B199" s="48" t="s">
        <v>272</v>
      </c>
      <c r="C199" s="48" t="s">
        <v>104</v>
      </c>
      <c r="D199" s="47" t="s">
        <v>36</v>
      </c>
      <c r="E199" s="47" t="s">
        <v>25</v>
      </c>
      <c r="F199" s="47" t="s">
        <v>17</v>
      </c>
      <c r="G199" s="47">
        <v>2</v>
      </c>
      <c r="H199" s="47"/>
      <c r="I199" s="47"/>
      <c r="J199" s="55" t="s">
        <v>503</v>
      </c>
      <c r="K199" s="48" t="s">
        <v>28</v>
      </c>
      <c r="L199" s="331" t="s">
        <v>41</v>
      </c>
      <c r="M199" s="363" t="s">
        <v>388</v>
      </c>
      <c r="N199" s="73"/>
      <c r="O199" s="362">
        <v>1</v>
      </c>
      <c r="P199" s="362"/>
      <c r="R199" s="223">
        <f t="shared" si="61"/>
        <v>2</v>
      </c>
      <c r="S199" s="155"/>
    </row>
    <row r="200" spans="1:27" s="61" customFormat="1" ht="15.75" customHeight="1" x14ac:dyDescent="0.25">
      <c r="A200" s="435"/>
      <c r="B200" s="48" t="s">
        <v>272</v>
      </c>
      <c r="C200" s="48" t="s">
        <v>104</v>
      </c>
      <c r="D200" s="47" t="s">
        <v>36</v>
      </c>
      <c r="E200" s="47" t="s">
        <v>25</v>
      </c>
      <c r="F200" s="47" t="s">
        <v>18</v>
      </c>
      <c r="G200" s="47"/>
      <c r="H200" s="47">
        <v>2</v>
      </c>
      <c r="I200" s="47"/>
      <c r="J200" s="251" t="s">
        <v>384</v>
      </c>
      <c r="K200" s="363" t="s">
        <v>31</v>
      </c>
      <c r="L200" s="331" t="s">
        <v>17</v>
      </c>
      <c r="M200" s="363" t="s">
        <v>26</v>
      </c>
      <c r="N200" s="73"/>
      <c r="O200" s="362"/>
      <c r="P200" s="362">
        <v>1</v>
      </c>
      <c r="R200" s="223"/>
      <c r="S200" s="155">
        <f t="shared" si="61"/>
        <v>2</v>
      </c>
    </row>
    <row r="201" spans="1:27" s="61" customFormat="1" ht="25.5" x14ac:dyDescent="0.25">
      <c r="A201" s="434">
        <v>9</v>
      </c>
      <c r="B201" s="48" t="s">
        <v>114</v>
      </c>
      <c r="C201" s="48" t="s">
        <v>104</v>
      </c>
      <c r="D201" s="47" t="s">
        <v>36</v>
      </c>
      <c r="E201" s="47" t="s">
        <v>25</v>
      </c>
      <c r="F201" s="47" t="s">
        <v>17</v>
      </c>
      <c r="G201" s="47">
        <v>2</v>
      </c>
      <c r="H201" s="38"/>
      <c r="I201" s="47"/>
      <c r="J201" s="48" t="s">
        <v>504</v>
      </c>
      <c r="K201" s="48" t="s">
        <v>28</v>
      </c>
      <c r="L201" s="34" t="s">
        <v>41</v>
      </c>
      <c r="M201" s="48" t="s">
        <v>197</v>
      </c>
      <c r="N201" s="73"/>
      <c r="O201" s="362">
        <v>1</v>
      </c>
      <c r="P201" s="362"/>
      <c r="R201" s="223">
        <f t="shared" si="61"/>
        <v>2</v>
      </c>
      <c r="S201" s="155"/>
    </row>
    <row r="202" spans="1:27" s="61" customFormat="1" ht="25.5" x14ac:dyDescent="0.25">
      <c r="A202" s="435"/>
      <c r="B202" s="48" t="s">
        <v>114</v>
      </c>
      <c r="C202" s="48" t="s">
        <v>104</v>
      </c>
      <c r="D202" s="47" t="s">
        <v>36</v>
      </c>
      <c r="E202" s="47" t="s">
        <v>25</v>
      </c>
      <c r="F202" s="47" t="s">
        <v>18</v>
      </c>
      <c r="G202" s="47"/>
      <c r="H202" s="47">
        <v>2</v>
      </c>
      <c r="I202" s="47"/>
      <c r="J202" s="48" t="s">
        <v>505</v>
      </c>
      <c r="K202" s="48" t="s">
        <v>266</v>
      </c>
      <c r="L202" s="34" t="s">
        <v>41</v>
      </c>
      <c r="M202" s="48" t="s">
        <v>197</v>
      </c>
      <c r="N202" s="73"/>
      <c r="O202" s="362"/>
      <c r="P202" s="362">
        <v>1</v>
      </c>
      <c r="R202" s="223"/>
      <c r="S202" s="155">
        <f t="shared" si="61"/>
        <v>2</v>
      </c>
    </row>
    <row r="203" spans="1:27" s="61" customFormat="1" ht="15.75" customHeight="1" x14ac:dyDescent="0.25">
      <c r="A203" s="434">
        <v>10</v>
      </c>
      <c r="B203" s="48" t="s">
        <v>274</v>
      </c>
      <c r="C203" s="48" t="s">
        <v>104</v>
      </c>
      <c r="D203" s="47" t="s">
        <v>36</v>
      </c>
      <c r="E203" s="47" t="s">
        <v>25</v>
      </c>
      <c r="F203" s="47" t="s">
        <v>17</v>
      </c>
      <c r="G203" s="47">
        <v>2</v>
      </c>
      <c r="H203" s="38"/>
      <c r="I203" s="47"/>
      <c r="J203" s="347" t="s">
        <v>554</v>
      </c>
      <c r="K203" s="48" t="s">
        <v>43</v>
      </c>
      <c r="L203" s="73" t="s">
        <v>37</v>
      </c>
      <c r="M203" s="55" t="s">
        <v>507</v>
      </c>
      <c r="N203" s="73"/>
      <c r="O203" s="362">
        <v>1</v>
      </c>
      <c r="P203" s="362"/>
      <c r="R203" s="223">
        <f t="shared" si="61"/>
        <v>2</v>
      </c>
      <c r="S203" s="155"/>
    </row>
    <row r="204" spans="1:27" s="61" customFormat="1" ht="15.75" customHeight="1" x14ac:dyDescent="0.25">
      <c r="A204" s="435"/>
      <c r="B204" s="48" t="s">
        <v>274</v>
      </c>
      <c r="C204" s="48" t="s">
        <v>104</v>
      </c>
      <c r="D204" s="47" t="s">
        <v>36</v>
      </c>
      <c r="E204" s="47" t="s">
        <v>25</v>
      </c>
      <c r="F204" s="47" t="s">
        <v>18</v>
      </c>
      <c r="G204" s="47"/>
      <c r="H204" s="47">
        <v>2</v>
      </c>
      <c r="I204" s="47"/>
      <c r="J204" s="347" t="s">
        <v>554</v>
      </c>
      <c r="K204" s="48" t="s">
        <v>43</v>
      </c>
      <c r="L204" s="73" t="s">
        <v>37</v>
      </c>
      <c r="M204" s="55" t="s">
        <v>507</v>
      </c>
      <c r="N204" s="73"/>
      <c r="O204" s="362"/>
      <c r="P204" s="362">
        <v>1</v>
      </c>
      <c r="R204" s="223"/>
      <c r="S204" s="155">
        <f t="shared" si="61"/>
        <v>2</v>
      </c>
    </row>
    <row r="205" spans="1:27" s="62" customFormat="1" ht="15.75" customHeight="1" x14ac:dyDescent="0.25">
      <c r="A205" s="478">
        <v>11</v>
      </c>
      <c r="B205" s="363" t="s">
        <v>116</v>
      </c>
      <c r="C205" s="363" t="s">
        <v>104</v>
      </c>
      <c r="D205" s="331" t="s">
        <v>36</v>
      </c>
      <c r="E205" s="331" t="s">
        <v>25</v>
      </c>
      <c r="F205" s="331" t="s">
        <v>17</v>
      </c>
      <c r="G205" s="331">
        <v>2</v>
      </c>
      <c r="H205" s="156"/>
      <c r="I205" s="331"/>
      <c r="J205" s="55" t="s">
        <v>502</v>
      </c>
      <c r="K205" s="55" t="s">
        <v>28</v>
      </c>
      <c r="L205" s="73" t="s">
        <v>37</v>
      </c>
      <c r="M205" s="55" t="s">
        <v>507</v>
      </c>
      <c r="N205" s="122"/>
      <c r="O205" s="154">
        <v>1</v>
      </c>
      <c r="P205" s="154"/>
      <c r="R205" s="223">
        <f t="shared" si="61"/>
        <v>2</v>
      </c>
      <c r="S205" s="155"/>
    </row>
    <row r="206" spans="1:27" s="62" customFormat="1" ht="15.75" customHeight="1" x14ac:dyDescent="0.25">
      <c r="A206" s="518"/>
      <c r="B206" s="363" t="s">
        <v>116</v>
      </c>
      <c r="C206" s="363" t="s">
        <v>104</v>
      </c>
      <c r="D206" s="331" t="s">
        <v>36</v>
      </c>
      <c r="E206" s="331" t="s">
        <v>25</v>
      </c>
      <c r="F206" s="331" t="s">
        <v>18</v>
      </c>
      <c r="G206" s="331"/>
      <c r="H206" s="331">
        <v>2</v>
      </c>
      <c r="I206" s="331"/>
      <c r="J206" s="251" t="s">
        <v>384</v>
      </c>
      <c r="K206" s="363" t="s">
        <v>31</v>
      </c>
      <c r="L206" s="331" t="s">
        <v>17</v>
      </c>
      <c r="M206" s="363" t="s">
        <v>26</v>
      </c>
      <c r="N206" s="122"/>
      <c r="O206" s="154"/>
      <c r="P206" s="154">
        <v>1</v>
      </c>
      <c r="R206" s="223"/>
      <c r="S206" s="155">
        <f t="shared" si="61"/>
        <v>2</v>
      </c>
    </row>
    <row r="207" spans="1:27" s="61" customFormat="1" ht="15.75" customHeight="1" x14ac:dyDescent="0.25">
      <c r="A207" s="434">
        <v>12</v>
      </c>
      <c r="B207" s="48" t="s">
        <v>117</v>
      </c>
      <c r="C207" s="48" t="s">
        <v>104</v>
      </c>
      <c r="D207" s="47" t="s">
        <v>36</v>
      </c>
      <c r="E207" s="47" t="s">
        <v>25</v>
      </c>
      <c r="F207" s="47" t="s">
        <v>17</v>
      </c>
      <c r="G207" s="47">
        <v>2</v>
      </c>
      <c r="H207" s="38"/>
      <c r="I207" s="47"/>
      <c r="J207" s="147" t="s">
        <v>506</v>
      </c>
      <c r="K207" s="55" t="s">
        <v>28</v>
      </c>
      <c r="L207" s="73" t="s">
        <v>37</v>
      </c>
      <c r="M207" s="55" t="s">
        <v>507</v>
      </c>
      <c r="N207" s="73"/>
      <c r="O207" s="362">
        <v>1</v>
      </c>
      <c r="P207" s="362"/>
      <c r="R207" s="223">
        <f t="shared" ref="R207" si="62">G207*O207</f>
        <v>2</v>
      </c>
      <c r="S207" s="155"/>
    </row>
    <row r="208" spans="1:27" s="61" customFormat="1" ht="15.75" customHeight="1" x14ac:dyDescent="0.25">
      <c r="A208" s="434"/>
      <c r="B208" s="48" t="s">
        <v>117</v>
      </c>
      <c r="C208" s="48" t="s">
        <v>104</v>
      </c>
      <c r="D208" s="47" t="s">
        <v>36</v>
      </c>
      <c r="E208" s="47" t="s">
        <v>25</v>
      </c>
      <c r="F208" s="47" t="s">
        <v>18</v>
      </c>
      <c r="G208" s="47"/>
      <c r="H208" s="47">
        <v>2</v>
      </c>
      <c r="I208" s="47"/>
      <c r="J208" s="147" t="s">
        <v>506</v>
      </c>
      <c r="K208" s="55" t="s">
        <v>28</v>
      </c>
      <c r="L208" s="73" t="s">
        <v>37</v>
      </c>
      <c r="M208" s="55" t="s">
        <v>507</v>
      </c>
      <c r="N208" s="73"/>
      <c r="O208" s="362"/>
      <c r="P208" s="362">
        <v>1</v>
      </c>
      <c r="R208" s="270"/>
      <c r="S208" s="155">
        <f t="shared" ref="S208" si="63">H208*P208</f>
        <v>2</v>
      </c>
    </row>
    <row r="209" spans="1:28" s="61" customFormat="1" ht="2.25" customHeight="1" x14ac:dyDescent="0.25">
      <c r="A209" s="434"/>
      <c r="B209" s="48" t="s">
        <v>385</v>
      </c>
      <c r="C209" s="48" t="s">
        <v>104</v>
      </c>
      <c r="D209" s="47" t="s">
        <v>36</v>
      </c>
      <c r="E209" s="47" t="s">
        <v>25</v>
      </c>
      <c r="F209" s="47" t="s">
        <v>17</v>
      </c>
      <c r="G209" s="47">
        <v>2</v>
      </c>
      <c r="H209" s="47"/>
      <c r="I209" s="47"/>
      <c r="J209" s="206"/>
      <c r="K209" s="48"/>
      <c r="L209" s="47"/>
      <c r="M209" s="48"/>
      <c r="N209" s="73"/>
      <c r="O209" s="362"/>
      <c r="P209" s="362"/>
      <c r="R209" s="270"/>
      <c r="S209" s="155"/>
    </row>
    <row r="210" spans="1:28" s="61" customFormat="1" ht="15.75" customHeight="1" x14ac:dyDescent="0.25">
      <c r="A210" s="435"/>
      <c r="B210" s="48" t="s">
        <v>385</v>
      </c>
      <c r="C210" s="48" t="s">
        <v>104</v>
      </c>
      <c r="D210" s="47" t="s">
        <v>36</v>
      </c>
      <c r="E210" s="47" t="s">
        <v>25</v>
      </c>
      <c r="F210" s="47" t="s">
        <v>18</v>
      </c>
      <c r="G210" s="47"/>
      <c r="H210" s="47">
        <v>2</v>
      </c>
      <c r="I210" s="47"/>
      <c r="J210" s="206"/>
      <c r="K210" s="48"/>
      <c r="L210" s="47"/>
      <c r="M210" s="48"/>
      <c r="N210" s="73">
        <v>17</v>
      </c>
      <c r="O210" s="362"/>
      <c r="P210" s="362">
        <v>1</v>
      </c>
      <c r="R210" s="270">
        <f t="shared" si="61"/>
        <v>0</v>
      </c>
      <c r="S210" s="155">
        <f t="shared" si="61"/>
        <v>2</v>
      </c>
    </row>
    <row r="211" spans="1:28" s="155" customFormat="1" ht="15.75" customHeight="1" x14ac:dyDescent="0.25">
      <c r="A211" s="478">
        <v>13</v>
      </c>
      <c r="B211" s="363" t="s">
        <v>118</v>
      </c>
      <c r="C211" s="363" t="s">
        <v>104</v>
      </c>
      <c r="D211" s="331" t="s">
        <v>46</v>
      </c>
      <c r="E211" s="331" t="s">
        <v>25</v>
      </c>
      <c r="F211" s="331" t="s">
        <v>17</v>
      </c>
      <c r="G211" s="331">
        <v>2</v>
      </c>
      <c r="H211" s="156"/>
      <c r="I211" s="331"/>
      <c r="J211" s="363" t="s">
        <v>460</v>
      </c>
      <c r="K211" s="363" t="s">
        <v>43</v>
      </c>
      <c r="L211" s="331" t="s">
        <v>37</v>
      </c>
      <c r="M211" s="363" t="s">
        <v>515</v>
      </c>
      <c r="N211" s="122"/>
      <c r="O211" s="154">
        <v>1</v>
      </c>
      <c r="P211" s="154"/>
      <c r="Q211" s="62"/>
      <c r="R211" s="223">
        <f t="shared" si="61"/>
        <v>2</v>
      </c>
      <c r="T211" s="62"/>
      <c r="U211" s="62"/>
      <c r="V211" s="62"/>
      <c r="W211" s="62"/>
      <c r="X211" s="62"/>
      <c r="Y211" s="62"/>
      <c r="Z211" s="62"/>
      <c r="AA211" s="62"/>
      <c r="AB211" s="62"/>
    </row>
    <row r="212" spans="1:28" s="62" customFormat="1" ht="15.75" customHeight="1" x14ac:dyDescent="0.25">
      <c r="A212" s="518"/>
      <c r="B212" s="363" t="s">
        <v>118</v>
      </c>
      <c r="C212" s="363" t="s">
        <v>104</v>
      </c>
      <c r="D212" s="331" t="s">
        <v>46</v>
      </c>
      <c r="E212" s="331" t="s">
        <v>25</v>
      </c>
      <c r="F212" s="331" t="s">
        <v>18</v>
      </c>
      <c r="G212" s="331"/>
      <c r="H212" s="331">
        <v>2</v>
      </c>
      <c r="I212" s="331"/>
      <c r="J212" s="251" t="s">
        <v>384</v>
      </c>
      <c r="K212" s="363" t="s">
        <v>31</v>
      </c>
      <c r="L212" s="331" t="s">
        <v>17</v>
      </c>
      <c r="M212" s="363" t="s">
        <v>26</v>
      </c>
      <c r="N212" s="122"/>
      <c r="O212" s="154"/>
      <c r="P212" s="154">
        <v>1</v>
      </c>
      <c r="R212" s="223"/>
      <c r="S212" s="155">
        <f t="shared" si="61"/>
        <v>2</v>
      </c>
    </row>
    <row r="213" spans="1:28" s="61" customFormat="1" ht="15.75" customHeight="1" x14ac:dyDescent="0.25">
      <c r="A213" s="434">
        <v>14</v>
      </c>
      <c r="B213" s="48" t="s">
        <v>119</v>
      </c>
      <c r="C213" s="48" t="s">
        <v>104</v>
      </c>
      <c r="D213" s="47" t="s">
        <v>46</v>
      </c>
      <c r="E213" s="47" t="s">
        <v>25</v>
      </c>
      <c r="F213" s="47" t="s">
        <v>17</v>
      </c>
      <c r="G213" s="47">
        <v>2</v>
      </c>
      <c r="H213" s="38"/>
      <c r="I213" s="47"/>
      <c r="J213" s="363" t="s">
        <v>509</v>
      </c>
      <c r="K213" s="363" t="s">
        <v>82</v>
      </c>
      <c r="L213" s="47" t="s">
        <v>41</v>
      </c>
      <c r="M213" s="48" t="s">
        <v>54</v>
      </c>
      <c r="N213" s="73"/>
      <c r="O213" s="154">
        <v>1</v>
      </c>
      <c r="P213" s="154"/>
      <c r="Q213" s="62"/>
      <c r="R213" s="223">
        <f t="shared" ref="R213" si="64">G213*O213</f>
        <v>2</v>
      </c>
      <c r="S213" s="155"/>
    </row>
    <row r="214" spans="1:28" s="61" customFormat="1" ht="15.75" customHeight="1" x14ac:dyDescent="0.25">
      <c r="A214" s="435"/>
      <c r="B214" s="48" t="s">
        <v>119</v>
      </c>
      <c r="C214" s="48" t="s">
        <v>104</v>
      </c>
      <c r="D214" s="47" t="s">
        <v>46</v>
      </c>
      <c r="E214" s="47" t="s">
        <v>25</v>
      </c>
      <c r="F214" s="47" t="s">
        <v>18</v>
      </c>
      <c r="G214" s="47"/>
      <c r="H214" s="47">
        <v>3</v>
      </c>
      <c r="I214" s="47"/>
      <c r="J214" s="251" t="s">
        <v>384</v>
      </c>
      <c r="K214" s="363" t="s">
        <v>31</v>
      </c>
      <c r="L214" s="47" t="s">
        <v>17</v>
      </c>
      <c r="M214" s="48" t="s">
        <v>26</v>
      </c>
      <c r="N214" s="73"/>
      <c r="O214" s="154"/>
      <c r="P214" s="154">
        <v>1</v>
      </c>
      <c r="Q214" s="62"/>
      <c r="R214" s="223"/>
      <c r="S214" s="155">
        <f t="shared" ref="S214" si="65">H214*P214</f>
        <v>3</v>
      </c>
    </row>
    <row r="215" spans="1:28" s="61" customFormat="1" ht="15.75" customHeight="1" x14ac:dyDescent="0.25">
      <c r="A215" s="434">
        <v>15</v>
      </c>
      <c r="B215" s="48" t="s">
        <v>120</v>
      </c>
      <c r="C215" s="48" t="s">
        <v>104</v>
      </c>
      <c r="D215" s="47" t="s">
        <v>46</v>
      </c>
      <c r="E215" s="47" t="s">
        <v>25</v>
      </c>
      <c r="F215" s="47" t="s">
        <v>17</v>
      </c>
      <c r="G215" s="47">
        <v>2</v>
      </c>
      <c r="H215" s="38"/>
      <c r="I215" s="47"/>
      <c r="J215" s="55" t="s">
        <v>502</v>
      </c>
      <c r="K215" s="55" t="s">
        <v>28</v>
      </c>
      <c r="L215" s="73" t="s">
        <v>37</v>
      </c>
      <c r="M215" s="55" t="s">
        <v>507</v>
      </c>
      <c r="N215" s="73"/>
      <c r="O215" s="362">
        <v>1</v>
      </c>
      <c r="P215" s="362"/>
      <c r="R215" s="223">
        <f t="shared" ref="R215" si="66">G215*O215</f>
        <v>2</v>
      </c>
      <c r="S215" s="155"/>
    </row>
    <row r="216" spans="1:28" s="61" customFormat="1" ht="15.75" customHeight="1" x14ac:dyDescent="0.25">
      <c r="A216" s="435"/>
      <c r="B216" s="48" t="s">
        <v>120</v>
      </c>
      <c r="C216" s="48" t="s">
        <v>104</v>
      </c>
      <c r="D216" s="47" t="s">
        <v>46</v>
      </c>
      <c r="E216" s="47" t="s">
        <v>25</v>
      </c>
      <c r="F216" s="47" t="s">
        <v>18</v>
      </c>
      <c r="G216" s="47"/>
      <c r="H216" s="47">
        <v>2</v>
      </c>
      <c r="I216" s="47"/>
      <c r="J216" s="251" t="s">
        <v>384</v>
      </c>
      <c r="K216" s="363" t="s">
        <v>31</v>
      </c>
      <c r="L216" s="331" t="s">
        <v>17</v>
      </c>
      <c r="M216" s="363" t="s">
        <v>26</v>
      </c>
      <c r="N216" s="73"/>
      <c r="O216" s="362"/>
      <c r="P216" s="362">
        <v>1</v>
      </c>
      <c r="R216" s="223"/>
      <c r="S216" s="155">
        <f t="shared" ref="S216" si="67">H216*P216</f>
        <v>2</v>
      </c>
    </row>
    <row r="217" spans="1:28" s="61" customFormat="1" ht="15.75" customHeight="1" x14ac:dyDescent="0.25">
      <c r="A217" s="434">
        <v>16</v>
      </c>
      <c r="B217" s="48" t="s">
        <v>121</v>
      </c>
      <c r="C217" s="48" t="s">
        <v>104</v>
      </c>
      <c r="D217" s="47" t="s">
        <v>46</v>
      </c>
      <c r="E217" s="47" t="s">
        <v>25</v>
      </c>
      <c r="F217" s="47" t="s">
        <v>17</v>
      </c>
      <c r="G217" s="47">
        <v>2</v>
      </c>
      <c r="H217" s="38"/>
      <c r="I217" s="47"/>
      <c r="J217" s="48" t="s">
        <v>465</v>
      </c>
      <c r="K217" s="48" t="s">
        <v>82</v>
      </c>
      <c r="L217" s="47" t="s">
        <v>17</v>
      </c>
      <c r="M217" s="48" t="s">
        <v>26</v>
      </c>
      <c r="N217" s="73"/>
      <c r="O217" s="362">
        <v>1</v>
      </c>
      <c r="P217" s="362"/>
      <c r="R217" s="223">
        <f t="shared" si="61"/>
        <v>2</v>
      </c>
      <c r="S217" s="155"/>
    </row>
    <row r="218" spans="1:28" s="61" customFormat="1" ht="15.75" customHeight="1" x14ac:dyDescent="0.25">
      <c r="A218" s="435"/>
      <c r="B218" s="48" t="s">
        <v>121</v>
      </c>
      <c r="C218" s="48" t="s">
        <v>104</v>
      </c>
      <c r="D218" s="47" t="s">
        <v>46</v>
      </c>
      <c r="E218" s="47" t="s">
        <v>25</v>
      </c>
      <c r="F218" s="47" t="s">
        <v>18</v>
      </c>
      <c r="G218" s="47"/>
      <c r="H218" s="47">
        <v>2</v>
      </c>
      <c r="I218" s="47"/>
      <c r="J218" s="48" t="s">
        <v>465</v>
      </c>
      <c r="K218" s="48" t="s">
        <v>82</v>
      </c>
      <c r="L218" s="47" t="s">
        <v>17</v>
      </c>
      <c r="M218" s="48" t="s">
        <v>26</v>
      </c>
      <c r="N218" s="73"/>
      <c r="O218" s="362"/>
      <c r="P218" s="362">
        <v>1</v>
      </c>
      <c r="R218" s="223"/>
      <c r="S218" s="155">
        <f t="shared" si="61"/>
        <v>2</v>
      </c>
    </row>
    <row r="219" spans="1:28" s="61" customFormat="1" x14ac:dyDescent="0.25">
      <c r="A219" s="434">
        <v>17</v>
      </c>
      <c r="B219" s="363" t="s">
        <v>122</v>
      </c>
      <c r="C219" s="48" t="s">
        <v>104</v>
      </c>
      <c r="D219" s="47" t="s">
        <v>46</v>
      </c>
      <c r="E219" s="47" t="s">
        <v>51</v>
      </c>
      <c r="F219" s="47" t="s">
        <v>17</v>
      </c>
      <c r="G219" s="47">
        <v>2</v>
      </c>
      <c r="H219" s="38"/>
      <c r="I219" s="47"/>
      <c r="J219" s="48" t="s">
        <v>568</v>
      </c>
      <c r="K219" s="48" t="s">
        <v>43</v>
      </c>
      <c r="L219" s="73" t="s">
        <v>17</v>
      </c>
      <c r="M219" s="48" t="s">
        <v>26</v>
      </c>
      <c r="N219" s="73"/>
      <c r="O219" s="362">
        <v>1</v>
      </c>
      <c r="P219" s="362"/>
      <c r="R219" s="223">
        <f t="shared" ref="R219" si="68">G219*O219</f>
        <v>2</v>
      </c>
      <c r="S219" s="155"/>
    </row>
    <row r="220" spans="1:28" s="61" customFormat="1" x14ac:dyDescent="0.25">
      <c r="A220" s="435"/>
      <c r="B220" s="363" t="s">
        <v>122</v>
      </c>
      <c r="C220" s="48" t="s">
        <v>104</v>
      </c>
      <c r="D220" s="47" t="s">
        <v>46</v>
      </c>
      <c r="E220" s="47" t="s">
        <v>51</v>
      </c>
      <c r="F220" s="47" t="s">
        <v>18</v>
      </c>
      <c r="G220" s="47"/>
      <c r="H220" s="47">
        <v>1</v>
      </c>
      <c r="I220" s="47"/>
      <c r="J220" s="48" t="s">
        <v>568</v>
      </c>
      <c r="K220" s="48" t="s">
        <v>43</v>
      </c>
      <c r="L220" s="73" t="s">
        <v>17</v>
      </c>
      <c r="M220" s="48" t="s">
        <v>26</v>
      </c>
      <c r="N220" s="73"/>
      <c r="O220" s="362"/>
      <c r="P220" s="362">
        <v>1</v>
      </c>
      <c r="R220" s="223"/>
      <c r="S220" s="155">
        <f t="shared" ref="S220" si="69">H220*P220</f>
        <v>1</v>
      </c>
    </row>
    <row r="221" spans="1:28" ht="26.25" customHeight="1" x14ac:dyDescent="0.25">
      <c r="A221" s="246"/>
      <c r="B221" s="279"/>
      <c r="C221" s="279"/>
      <c r="D221" s="280"/>
      <c r="E221" s="280"/>
      <c r="F221" s="280"/>
      <c r="G221" s="280">
        <f>SUM(G185:G220)</f>
        <v>35</v>
      </c>
      <c r="H221" s="280">
        <f>SUM(H185:H220)</f>
        <v>37</v>
      </c>
      <c r="I221" s="280"/>
      <c r="J221" s="279"/>
      <c r="K221" s="279"/>
      <c r="L221" s="280"/>
      <c r="M221" s="279"/>
      <c r="N221" s="155"/>
      <c r="O221" s="155"/>
      <c r="P221" s="155"/>
      <c r="Q221" s="155"/>
      <c r="R221" s="270"/>
      <c r="S221" s="155"/>
    </row>
    <row r="222" spans="1:28" ht="26.25" customHeight="1" x14ac:dyDescent="0.25">
      <c r="A222" s="28"/>
      <c r="B222" s="29"/>
      <c r="C222" s="29"/>
      <c r="D222" s="20"/>
      <c r="E222" s="20"/>
      <c r="F222" s="20"/>
      <c r="G222" s="20"/>
      <c r="H222" s="20"/>
      <c r="I222" s="20"/>
      <c r="J222" s="29"/>
      <c r="K222" s="29"/>
      <c r="L222" s="20"/>
      <c r="M222" s="29"/>
      <c r="R222" s="309"/>
    </row>
    <row r="223" spans="1:28" ht="26.25" customHeight="1" x14ac:dyDescent="0.25">
      <c r="A223" s="6"/>
      <c r="B223" s="302" t="s">
        <v>330</v>
      </c>
      <c r="C223" s="302"/>
      <c r="D223" s="303"/>
      <c r="E223" s="303"/>
      <c r="F223" s="303"/>
      <c r="G223" s="303"/>
      <c r="H223" s="302"/>
      <c r="I223" s="302"/>
      <c r="J223" s="302"/>
      <c r="K223" s="7"/>
      <c r="L223" s="6"/>
      <c r="M223" s="7"/>
      <c r="R223" s="66"/>
    </row>
    <row r="224" spans="1:28" ht="26.25" customHeight="1" x14ac:dyDescent="0.25">
      <c r="A224" s="6"/>
      <c r="B224" s="7"/>
      <c r="C224" s="7"/>
      <c r="D224" s="6"/>
      <c r="E224" s="6"/>
      <c r="F224" s="6"/>
      <c r="G224" s="6"/>
      <c r="H224" s="7"/>
      <c r="I224" s="7"/>
      <c r="J224" s="7"/>
      <c r="K224" s="7"/>
      <c r="L224" s="6"/>
      <c r="M224" s="7"/>
      <c r="R224" s="309"/>
    </row>
    <row r="225" spans="1:21" ht="26.25" customHeight="1" x14ac:dyDescent="0.25">
      <c r="A225" s="2"/>
      <c r="B225" s="314" t="s">
        <v>65</v>
      </c>
      <c r="C225" s="310"/>
      <c r="D225" s="311"/>
      <c r="E225" s="312"/>
      <c r="F225" s="312"/>
      <c r="G225" s="312"/>
      <c r="H225" s="313"/>
      <c r="K225" s="5"/>
      <c r="L225" s="2"/>
      <c r="M225" s="5"/>
      <c r="R225" s="66"/>
    </row>
    <row r="226" spans="1:21" x14ac:dyDescent="0.25">
      <c r="A226" s="2"/>
      <c r="B226" s="5"/>
      <c r="C226" s="5"/>
      <c r="D226" s="2"/>
      <c r="E226" s="2"/>
      <c r="F226" s="2"/>
      <c r="G226" s="2"/>
      <c r="H226" s="2"/>
      <c r="I226" s="2"/>
      <c r="J226" s="5"/>
      <c r="K226" s="5"/>
      <c r="L226" s="2"/>
      <c r="M226" s="2"/>
    </row>
    <row r="227" spans="1:21" ht="89.25" x14ac:dyDescent="0.25">
      <c r="A227" s="9" t="s">
        <v>1</v>
      </c>
      <c r="B227" s="372" t="s">
        <v>2</v>
      </c>
      <c r="C227" s="372" t="s">
        <v>3</v>
      </c>
      <c r="D227" s="375" t="s">
        <v>4</v>
      </c>
      <c r="E227" s="10" t="s">
        <v>5</v>
      </c>
      <c r="F227" s="10" t="s">
        <v>6</v>
      </c>
      <c r="G227" s="187"/>
      <c r="H227" s="188" t="s">
        <v>7</v>
      </c>
      <c r="I227" s="189"/>
      <c r="J227" s="372" t="s">
        <v>8</v>
      </c>
      <c r="K227" s="14" t="s">
        <v>9</v>
      </c>
      <c r="L227" s="10" t="s">
        <v>10</v>
      </c>
      <c r="M227" s="369" t="s">
        <v>11</v>
      </c>
      <c r="N227" s="59" t="s">
        <v>12</v>
      </c>
      <c r="O227" s="59" t="s">
        <v>261</v>
      </c>
      <c r="P227" s="59" t="s">
        <v>262</v>
      </c>
      <c r="Q227" s="59" t="s">
        <v>263</v>
      </c>
      <c r="R227" s="490" t="s">
        <v>264</v>
      </c>
      <c r="S227" s="491"/>
    </row>
    <row r="228" spans="1:21" s="61" customFormat="1" ht="15.75" customHeight="1" x14ac:dyDescent="0.25">
      <c r="A228" s="434">
        <v>1</v>
      </c>
      <c r="B228" s="431" t="s">
        <v>136</v>
      </c>
      <c r="C228" s="434" t="s">
        <v>68</v>
      </c>
      <c r="D228" s="434" t="s">
        <v>24</v>
      </c>
      <c r="E228" s="434" t="s">
        <v>25</v>
      </c>
      <c r="F228" s="434" t="s">
        <v>319</v>
      </c>
      <c r="G228" s="47">
        <v>2</v>
      </c>
      <c r="H228" s="47"/>
      <c r="I228" s="47"/>
      <c r="J228" s="48" t="s">
        <v>454</v>
      </c>
      <c r="K228" s="48" t="s">
        <v>28</v>
      </c>
      <c r="L228" s="47" t="s">
        <v>17</v>
      </c>
      <c r="M228" s="48" t="s">
        <v>26</v>
      </c>
      <c r="N228" s="453"/>
      <c r="O228" s="362">
        <v>1</v>
      </c>
      <c r="P228" s="362"/>
      <c r="R228" s="271">
        <f t="shared" ref="R228:R253" si="70">G228*O228</f>
        <v>2</v>
      </c>
      <c r="S228" s="155"/>
      <c r="U228" s="357"/>
    </row>
    <row r="229" spans="1:21" s="61" customFormat="1" ht="15.75" customHeight="1" x14ac:dyDescent="0.25">
      <c r="A229" s="435"/>
      <c r="B229" s="432"/>
      <c r="C229" s="435"/>
      <c r="D229" s="435"/>
      <c r="E229" s="435"/>
      <c r="F229" s="435"/>
      <c r="G229" s="47">
        <v>1</v>
      </c>
      <c r="H229" s="47"/>
      <c r="I229" s="47"/>
      <c r="J229" s="48" t="s">
        <v>465</v>
      </c>
      <c r="K229" s="48" t="s">
        <v>82</v>
      </c>
      <c r="L229" s="47" t="s">
        <v>17</v>
      </c>
      <c r="M229" s="48" t="s">
        <v>26</v>
      </c>
      <c r="N229" s="454"/>
      <c r="O229" s="362">
        <v>1</v>
      </c>
      <c r="P229" s="362"/>
      <c r="R229" s="271">
        <f t="shared" si="70"/>
        <v>1</v>
      </c>
      <c r="S229" s="155"/>
    </row>
    <row r="230" spans="1:21" s="61" customFormat="1" ht="15.75" customHeight="1" x14ac:dyDescent="0.25">
      <c r="A230" s="435"/>
      <c r="B230" s="433"/>
      <c r="C230" s="435"/>
      <c r="D230" s="435"/>
      <c r="E230" s="435"/>
      <c r="F230" s="435"/>
      <c r="G230" s="47"/>
      <c r="H230" s="331">
        <v>2</v>
      </c>
      <c r="I230" s="331"/>
      <c r="J230" s="363"/>
      <c r="K230" s="363"/>
      <c r="L230" s="331"/>
      <c r="M230" s="363"/>
      <c r="N230" s="455"/>
      <c r="O230" s="362"/>
      <c r="P230" s="362"/>
      <c r="R230" s="271"/>
      <c r="S230" s="155"/>
    </row>
    <row r="231" spans="1:21" s="61" customFormat="1" ht="15.75" customHeight="1" x14ac:dyDescent="0.25">
      <c r="A231" s="434">
        <v>2</v>
      </c>
      <c r="B231" s="431" t="s">
        <v>137</v>
      </c>
      <c r="C231" s="434" t="s">
        <v>68</v>
      </c>
      <c r="D231" s="434" t="s">
        <v>24</v>
      </c>
      <c r="E231" s="434" t="s">
        <v>25</v>
      </c>
      <c r="F231" s="434" t="s">
        <v>319</v>
      </c>
      <c r="G231" s="393">
        <v>2</v>
      </c>
      <c r="H231" s="47"/>
      <c r="I231" s="47"/>
      <c r="J231" s="55" t="s">
        <v>466</v>
      </c>
      <c r="K231" s="48" t="s">
        <v>564</v>
      </c>
      <c r="L231" s="47" t="s">
        <v>17</v>
      </c>
      <c r="M231" s="48" t="s">
        <v>26</v>
      </c>
      <c r="N231" s="453"/>
      <c r="O231" s="362">
        <v>1</v>
      </c>
      <c r="P231" s="362"/>
      <c r="R231" s="271">
        <f t="shared" si="70"/>
        <v>2</v>
      </c>
      <c r="S231" s="155"/>
    </row>
    <row r="232" spans="1:21" s="61" customFormat="1" ht="15.75" customHeight="1" x14ac:dyDescent="0.25">
      <c r="A232" s="435"/>
      <c r="B232" s="432"/>
      <c r="C232" s="435"/>
      <c r="D232" s="435"/>
      <c r="E232" s="435"/>
      <c r="F232" s="435"/>
      <c r="G232" s="401"/>
      <c r="H232" s="47"/>
      <c r="I232" s="47"/>
      <c r="J232" s="48"/>
      <c r="K232" s="48"/>
      <c r="L232" s="47"/>
      <c r="M232" s="48"/>
      <c r="N232" s="454"/>
      <c r="O232" s="362">
        <v>1</v>
      </c>
      <c r="P232" s="362"/>
      <c r="R232" s="271">
        <f t="shared" si="70"/>
        <v>0</v>
      </c>
      <c r="S232" s="155"/>
    </row>
    <row r="233" spans="1:21" s="61" customFormat="1" ht="15.75" customHeight="1" x14ac:dyDescent="0.25">
      <c r="A233" s="435"/>
      <c r="B233" s="433"/>
      <c r="C233" s="435"/>
      <c r="D233" s="435"/>
      <c r="E233" s="435"/>
      <c r="F233" s="435"/>
      <c r="G233" s="47"/>
      <c r="H233" s="331">
        <v>1</v>
      </c>
      <c r="I233" s="331"/>
      <c r="J233" s="363"/>
      <c r="K233" s="363"/>
      <c r="L233" s="331"/>
      <c r="M233" s="363"/>
      <c r="N233" s="455"/>
      <c r="O233" s="362"/>
      <c r="P233" s="362"/>
      <c r="R233" s="271"/>
      <c r="S233" s="155"/>
    </row>
    <row r="234" spans="1:21" s="404" customFormat="1" ht="15.75" customHeight="1" x14ac:dyDescent="0.25">
      <c r="A234" s="434">
        <v>3</v>
      </c>
      <c r="B234" s="431" t="s">
        <v>578</v>
      </c>
      <c r="C234" s="434" t="s">
        <v>68</v>
      </c>
      <c r="D234" s="434" t="s">
        <v>24</v>
      </c>
      <c r="E234" s="434" t="s">
        <v>25</v>
      </c>
      <c r="F234" s="434" t="s">
        <v>319</v>
      </c>
      <c r="G234" s="393">
        <v>3</v>
      </c>
      <c r="H234" s="391"/>
      <c r="I234" s="391"/>
      <c r="J234" s="55" t="s">
        <v>467</v>
      </c>
      <c r="K234" s="397" t="s">
        <v>564</v>
      </c>
      <c r="L234" s="391" t="s">
        <v>17</v>
      </c>
      <c r="M234" s="397" t="s">
        <v>26</v>
      </c>
      <c r="N234" s="453"/>
      <c r="O234" s="396">
        <v>1</v>
      </c>
      <c r="P234" s="396"/>
      <c r="R234" s="271">
        <f t="shared" ref="R234:R235" si="71">G234*O234</f>
        <v>3</v>
      </c>
      <c r="S234" s="155"/>
    </row>
    <row r="235" spans="1:21" s="404" customFormat="1" ht="15.75" customHeight="1" x14ac:dyDescent="0.25">
      <c r="A235" s="435"/>
      <c r="B235" s="432"/>
      <c r="C235" s="435"/>
      <c r="D235" s="435"/>
      <c r="E235" s="435"/>
      <c r="F235" s="435"/>
      <c r="G235" s="401"/>
      <c r="H235" s="391"/>
      <c r="I235" s="391"/>
      <c r="J235" s="397"/>
      <c r="K235" s="397"/>
      <c r="L235" s="391"/>
      <c r="M235" s="397"/>
      <c r="N235" s="454"/>
      <c r="O235" s="396">
        <v>1</v>
      </c>
      <c r="P235" s="396"/>
      <c r="R235" s="271">
        <f t="shared" si="71"/>
        <v>0</v>
      </c>
      <c r="S235" s="155"/>
    </row>
    <row r="236" spans="1:21" s="404" customFormat="1" ht="15.75" customHeight="1" x14ac:dyDescent="0.25">
      <c r="A236" s="435"/>
      <c r="B236" s="433"/>
      <c r="C236" s="435"/>
      <c r="D236" s="435"/>
      <c r="E236" s="435"/>
      <c r="F236" s="435"/>
      <c r="G236" s="391"/>
      <c r="H236" s="331">
        <v>1</v>
      </c>
      <c r="I236" s="331"/>
      <c r="J236" s="402"/>
      <c r="K236" s="402"/>
      <c r="L236" s="331"/>
      <c r="M236" s="402"/>
      <c r="N236" s="455"/>
      <c r="O236" s="396"/>
      <c r="P236" s="396"/>
      <c r="R236" s="271"/>
      <c r="S236" s="155"/>
    </row>
    <row r="237" spans="1:21" s="61" customFormat="1" ht="15.75" customHeight="1" x14ac:dyDescent="0.25">
      <c r="A237" s="434">
        <v>4</v>
      </c>
      <c r="B237" s="431" t="s">
        <v>138</v>
      </c>
      <c r="C237" s="434" t="s">
        <v>68</v>
      </c>
      <c r="D237" s="434" t="s">
        <v>24</v>
      </c>
      <c r="E237" s="434" t="s">
        <v>25</v>
      </c>
      <c r="F237" s="434" t="s">
        <v>320</v>
      </c>
      <c r="G237" s="47">
        <v>2</v>
      </c>
      <c r="H237" s="47"/>
      <c r="I237" s="47"/>
      <c r="J237" s="363" t="s">
        <v>481</v>
      </c>
      <c r="K237" s="363" t="s">
        <v>28</v>
      </c>
      <c r="L237" s="331" t="s">
        <v>37</v>
      </c>
      <c r="M237" s="363" t="s">
        <v>514</v>
      </c>
      <c r="N237" s="453"/>
      <c r="O237" s="362">
        <v>1</v>
      </c>
      <c r="P237" s="362"/>
      <c r="R237" s="271">
        <f t="shared" si="70"/>
        <v>2</v>
      </c>
      <c r="S237" s="155"/>
      <c r="U237" s="61" t="s">
        <v>199</v>
      </c>
    </row>
    <row r="238" spans="1:21" s="61" customFormat="1" ht="15.75" customHeight="1" x14ac:dyDescent="0.25">
      <c r="A238" s="434"/>
      <c r="B238" s="432"/>
      <c r="C238" s="435"/>
      <c r="D238" s="435"/>
      <c r="E238" s="435"/>
      <c r="F238" s="435"/>
      <c r="G238" s="191">
        <v>1</v>
      </c>
      <c r="H238" s="47"/>
      <c r="I238" s="47"/>
      <c r="J238" s="48" t="s">
        <v>485</v>
      </c>
      <c r="K238" s="363" t="s">
        <v>82</v>
      </c>
      <c r="L238" s="331" t="s">
        <v>17</v>
      </c>
      <c r="M238" s="363" t="s">
        <v>26</v>
      </c>
      <c r="N238" s="454"/>
      <c r="O238" s="362">
        <v>1</v>
      </c>
      <c r="P238" s="362"/>
      <c r="R238" s="271">
        <f t="shared" si="70"/>
        <v>1</v>
      </c>
      <c r="S238" s="155"/>
    </row>
    <row r="239" spans="1:21" s="61" customFormat="1" ht="15.75" customHeight="1" x14ac:dyDescent="0.25">
      <c r="A239" s="434"/>
      <c r="B239" s="433"/>
      <c r="C239" s="435"/>
      <c r="D239" s="435"/>
      <c r="E239" s="435"/>
      <c r="F239" s="435"/>
      <c r="G239" s="47"/>
      <c r="H239" s="331">
        <v>2</v>
      </c>
      <c r="I239" s="331"/>
      <c r="J239" s="363"/>
      <c r="K239" s="363"/>
      <c r="L239" s="331"/>
      <c r="M239" s="363"/>
      <c r="N239" s="455"/>
      <c r="O239" s="362"/>
      <c r="P239" s="362"/>
      <c r="R239" s="271"/>
      <c r="S239" s="155"/>
    </row>
    <row r="240" spans="1:21" s="404" customFormat="1" ht="15.75" customHeight="1" x14ac:dyDescent="0.25">
      <c r="A240" s="434"/>
      <c r="B240" s="431" t="s">
        <v>139</v>
      </c>
      <c r="C240" s="434" t="s">
        <v>68</v>
      </c>
      <c r="D240" s="434" t="s">
        <v>24</v>
      </c>
      <c r="E240" s="434" t="s">
        <v>25</v>
      </c>
      <c r="F240" s="434" t="s">
        <v>320</v>
      </c>
      <c r="G240" s="393">
        <v>3</v>
      </c>
      <c r="H240" s="391"/>
      <c r="I240" s="391"/>
      <c r="J240" s="55" t="s">
        <v>451</v>
      </c>
      <c r="K240" s="298" t="s">
        <v>28</v>
      </c>
      <c r="L240" s="73" t="s">
        <v>17</v>
      </c>
      <c r="M240" s="55" t="s">
        <v>26</v>
      </c>
      <c r="N240" s="453"/>
      <c r="O240" s="396">
        <v>1</v>
      </c>
      <c r="P240" s="396"/>
      <c r="R240" s="271">
        <f t="shared" ref="R240:R241" si="72">G240*O240</f>
        <v>3</v>
      </c>
      <c r="S240" s="155"/>
    </row>
    <row r="241" spans="1:19" s="404" customFormat="1" ht="15.75" customHeight="1" x14ac:dyDescent="0.25">
      <c r="A241" s="434"/>
      <c r="B241" s="432"/>
      <c r="C241" s="435"/>
      <c r="D241" s="435"/>
      <c r="E241" s="435"/>
      <c r="F241" s="435"/>
      <c r="G241" s="401"/>
      <c r="H241" s="391"/>
      <c r="I241" s="391"/>
      <c r="J241" s="397"/>
      <c r="K241" s="397"/>
      <c r="L241" s="391"/>
      <c r="M241" s="397"/>
      <c r="N241" s="454"/>
      <c r="O241" s="396">
        <v>1</v>
      </c>
      <c r="P241" s="396"/>
      <c r="R241" s="271">
        <f t="shared" si="72"/>
        <v>0</v>
      </c>
      <c r="S241" s="155"/>
    </row>
    <row r="242" spans="1:19" s="404" customFormat="1" ht="15.75" customHeight="1" x14ac:dyDescent="0.25">
      <c r="A242" s="434"/>
      <c r="B242" s="433"/>
      <c r="C242" s="435"/>
      <c r="D242" s="435"/>
      <c r="E242" s="435"/>
      <c r="F242" s="435"/>
      <c r="G242" s="391"/>
      <c r="H242" s="331">
        <v>2</v>
      </c>
      <c r="I242" s="331"/>
      <c r="J242" s="402"/>
      <c r="K242" s="402"/>
      <c r="L242" s="331"/>
      <c r="M242" s="402"/>
      <c r="N242" s="455"/>
      <c r="O242" s="396"/>
      <c r="P242" s="396"/>
      <c r="R242" s="271"/>
      <c r="S242" s="155"/>
    </row>
    <row r="243" spans="1:19" s="61" customFormat="1" ht="25.9" customHeight="1" x14ac:dyDescent="0.25">
      <c r="A243" s="435"/>
      <c r="B243" s="431" t="s">
        <v>582</v>
      </c>
      <c r="C243" s="434" t="s">
        <v>68</v>
      </c>
      <c r="D243" s="434" t="s">
        <v>24</v>
      </c>
      <c r="E243" s="434" t="s">
        <v>25</v>
      </c>
      <c r="F243" s="434" t="s">
        <v>320</v>
      </c>
      <c r="G243" s="411">
        <v>2</v>
      </c>
      <c r="H243" s="38"/>
      <c r="I243" s="410"/>
      <c r="J243" s="414" t="s">
        <v>410</v>
      </c>
      <c r="K243" s="48" t="s">
        <v>43</v>
      </c>
      <c r="L243" s="331" t="s">
        <v>17</v>
      </c>
      <c r="M243" s="363" t="s">
        <v>26</v>
      </c>
      <c r="N243" s="470"/>
      <c r="O243" s="362">
        <v>1</v>
      </c>
      <c r="P243" s="362"/>
      <c r="R243" s="271">
        <f t="shared" si="70"/>
        <v>2</v>
      </c>
      <c r="S243" s="272"/>
    </row>
    <row r="244" spans="1:19" s="61" customFormat="1" ht="31.15" customHeight="1" x14ac:dyDescent="0.25">
      <c r="A244" s="435"/>
      <c r="B244" s="432"/>
      <c r="C244" s="435"/>
      <c r="D244" s="435"/>
      <c r="E244" s="435"/>
      <c r="F244" s="435"/>
      <c r="G244" s="356">
        <v>1</v>
      </c>
      <c r="H244" s="38"/>
      <c r="I244" s="47"/>
      <c r="J244" s="48" t="s">
        <v>459</v>
      </c>
      <c r="K244" s="412" t="s">
        <v>82</v>
      </c>
      <c r="L244" s="47"/>
      <c r="M244" s="363"/>
      <c r="N244" s="454"/>
      <c r="O244" s="362">
        <v>1</v>
      </c>
      <c r="P244" s="362"/>
      <c r="R244" s="273">
        <f t="shared" si="70"/>
        <v>1</v>
      </c>
      <c r="S244" s="155"/>
    </row>
    <row r="245" spans="1:19" s="61" customFormat="1" ht="15.75" customHeight="1" x14ac:dyDescent="0.25">
      <c r="A245" s="435"/>
      <c r="B245" s="433"/>
      <c r="C245" s="435"/>
      <c r="D245" s="435"/>
      <c r="E245" s="435"/>
      <c r="F245" s="435"/>
      <c r="G245" s="47"/>
      <c r="H245" s="331">
        <v>2</v>
      </c>
      <c r="I245" s="331"/>
      <c r="J245" s="363"/>
      <c r="K245" s="363"/>
      <c r="L245" s="331"/>
      <c r="M245" s="363"/>
      <c r="N245" s="455"/>
      <c r="O245" s="362"/>
      <c r="P245" s="362"/>
      <c r="R245" s="271"/>
      <c r="S245" s="155"/>
    </row>
    <row r="246" spans="1:19" s="62" customFormat="1" ht="15.75" customHeight="1" x14ac:dyDescent="0.25">
      <c r="A246" s="519">
        <v>5</v>
      </c>
      <c r="B246" s="437" t="s">
        <v>141</v>
      </c>
      <c r="C246" s="434" t="s">
        <v>68</v>
      </c>
      <c r="D246" s="434" t="s">
        <v>24</v>
      </c>
      <c r="E246" s="434" t="s">
        <v>25</v>
      </c>
      <c r="F246" s="478" t="s">
        <v>320</v>
      </c>
      <c r="G246" s="331">
        <v>1</v>
      </c>
      <c r="H246" s="331"/>
      <c r="I246" s="331"/>
      <c r="J246" s="251" t="s">
        <v>469</v>
      </c>
      <c r="K246" s="365" t="s">
        <v>28</v>
      </c>
      <c r="L246" s="73" t="s">
        <v>17</v>
      </c>
      <c r="M246" s="74" t="s">
        <v>26</v>
      </c>
      <c r="N246" s="470"/>
      <c r="O246" s="362">
        <v>1</v>
      </c>
      <c r="P246" s="362"/>
      <c r="R246" s="273">
        <f t="shared" ref="R246:R247" si="73">G246*O246</f>
        <v>1</v>
      </c>
      <c r="S246" s="155"/>
    </row>
    <row r="247" spans="1:19" s="62" customFormat="1" ht="25.5" x14ac:dyDescent="0.25">
      <c r="A247" s="447"/>
      <c r="B247" s="432"/>
      <c r="C247" s="435"/>
      <c r="D247" s="435"/>
      <c r="E247" s="435"/>
      <c r="F247" s="435"/>
      <c r="G247" s="331">
        <v>1</v>
      </c>
      <c r="H247" s="331"/>
      <c r="I247" s="331"/>
      <c r="J247" s="365" t="s">
        <v>477</v>
      </c>
      <c r="K247" s="48" t="s">
        <v>82</v>
      </c>
      <c r="L247" s="73" t="s">
        <v>17</v>
      </c>
      <c r="M247" s="74" t="s">
        <v>26</v>
      </c>
      <c r="N247" s="454"/>
      <c r="O247" s="244">
        <v>1</v>
      </c>
      <c r="P247" s="362"/>
      <c r="R247" s="273">
        <f t="shared" si="73"/>
        <v>1</v>
      </c>
      <c r="S247" s="155"/>
    </row>
    <row r="248" spans="1:19" s="62" customFormat="1" ht="15.75" customHeight="1" x14ac:dyDescent="0.25">
      <c r="A248" s="447"/>
      <c r="B248" s="433"/>
      <c r="C248" s="435"/>
      <c r="D248" s="435"/>
      <c r="E248" s="435"/>
      <c r="F248" s="435"/>
      <c r="G248" s="331"/>
      <c r="H248" s="331"/>
      <c r="I248" s="331"/>
      <c r="J248" s="363"/>
      <c r="K248" s="363"/>
      <c r="L248" s="331"/>
      <c r="M248" s="363"/>
      <c r="N248" s="455"/>
      <c r="O248" s="362"/>
      <c r="P248" s="362"/>
      <c r="R248" s="273"/>
      <c r="S248" s="155"/>
    </row>
    <row r="249" spans="1:19" s="62" customFormat="1" ht="15.75" customHeight="1" x14ac:dyDescent="0.25">
      <c r="A249" s="447"/>
      <c r="B249" s="437" t="s">
        <v>140</v>
      </c>
      <c r="C249" s="434" t="s">
        <v>68</v>
      </c>
      <c r="D249" s="434" t="s">
        <v>24</v>
      </c>
      <c r="E249" s="434" t="s">
        <v>25</v>
      </c>
      <c r="F249" s="478" t="s">
        <v>320</v>
      </c>
      <c r="G249" s="179">
        <v>2</v>
      </c>
      <c r="H249" s="331"/>
      <c r="I249" s="331"/>
      <c r="J249" s="48" t="s">
        <v>455</v>
      </c>
      <c r="K249" s="48" t="s">
        <v>28</v>
      </c>
      <c r="L249" s="47" t="s">
        <v>17</v>
      </c>
      <c r="M249" s="48" t="s">
        <v>26</v>
      </c>
      <c r="N249" s="453"/>
      <c r="O249" s="362">
        <v>1</v>
      </c>
      <c r="P249" s="362"/>
      <c r="R249" s="273">
        <f t="shared" si="70"/>
        <v>2</v>
      </c>
      <c r="S249" s="155"/>
    </row>
    <row r="250" spans="1:19" s="62" customFormat="1" x14ac:dyDescent="0.25">
      <c r="A250" s="447"/>
      <c r="B250" s="432"/>
      <c r="C250" s="435"/>
      <c r="D250" s="435"/>
      <c r="E250" s="435"/>
      <c r="F250" s="435"/>
      <c r="G250" s="356"/>
      <c r="H250" s="331"/>
      <c r="I250" s="331"/>
      <c r="J250" s="251"/>
      <c r="K250" s="363"/>
      <c r="L250" s="47"/>
      <c r="M250" s="48"/>
      <c r="N250" s="454"/>
      <c r="O250" s="362">
        <v>0</v>
      </c>
      <c r="P250" s="362"/>
      <c r="R250" s="273">
        <f t="shared" si="70"/>
        <v>0</v>
      </c>
      <c r="S250" s="155"/>
    </row>
    <row r="251" spans="1:19" s="62" customFormat="1" ht="15.75" customHeight="1" x14ac:dyDescent="0.25">
      <c r="A251" s="447"/>
      <c r="B251" s="433"/>
      <c r="C251" s="435"/>
      <c r="D251" s="435"/>
      <c r="E251" s="435"/>
      <c r="F251" s="435"/>
      <c r="G251" s="122"/>
      <c r="H251" s="331">
        <v>1</v>
      </c>
      <c r="I251" s="331"/>
      <c r="J251" s="363"/>
      <c r="K251" s="363"/>
      <c r="L251" s="331"/>
      <c r="M251" s="363"/>
      <c r="N251" s="455"/>
      <c r="O251" s="362"/>
      <c r="P251" s="362"/>
      <c r="R251" s="273"/>
      <c r="S251" s="155"/>
    </row>
    <row r="252" spans="1:19" s="62" customFormat="1" x14ac:dyDescent="0.25">
      <c r="A252" s="447"/>
      <c r="B252" s="437" t="s">
        <v>142</v>
      </c>
      <c r="C252" s="434" t="s">
        <v>68</v>
      </c>
      <c r="D252" s="434" t="s">
        <v>24</v>
      </c>
      <c r="E252" s="434" t="s">
        <v>25</v>
      </c>
      <c r="F252" s="478" t="s">
        <v>320</v>
      </c>
      <c r="G252" s="331">
        <v>2</v>
      </c>
      <c r="H252" s="331"/>
      <c r="I252" s="331"/>
      <c r="J252" s="150" t="s">
        <v>563</v>
      </c>
      <c r="K252" s="425" t="s">
        <v>82</v>
      </c>
      <c r="L252" s="331" t="s">
        <v>17</v>
      </c>
      <c r="M252" s="363" t="s">
        <v>26</v>
      </c>
      <c r="N252" s="470"/>
      <c r="O252" s="244">
        <v>1</v>
      </c>
      <c r="P252" s="362"/>
      <c r="R252" s="273">
        <f t="shared" si="70"/>
        <v>2</v>
      </c>
      <c r="S252" s="155"/>
    </row>
    <row r="253" spans="1:19" s="62" customFormat="1" x14ac:dyDescent="0.25">
      <c r="A253" s="447"/>
      <c r="B253" s="432"/>
      <c r="C253" s="435"/>
      <c r="D253" s="435"/>
      <c r="E253" s="435"/>
      <c r="F253" s="435"/>
      <c r="G253" s="331"/>
      <c r="H253" s="331"/>
      <c r="I253" s="331"/>
      <c r="J253" s="150"/>
      <c r="K253" s="363"/>
      <c r="L253" s="331"/>
      <c r="M253" s="363"/>
      <c r="N253" s="454"/>
      <c r="O253" s="244">
        <v>0</v>
      </c>
      <c r="P253" s="362"/>
      <c r="R253" s="273">
        <f t="shared" si="70"/>
        <v>0</v>
      </c>
      <c r="S253" s="155"/>
    </row>
    <row r="254" spans="1:19" s="62" customFormat="1" ht="15.75" customHeight="1" x14ac:dyDescent="0.25">
      <c r="A254" s="448"/>
      <c r="B254" s="433"/>
      <c r="C254" s="435"/>
      <c r="D254" s="435"/>
      <c r="E254" s="435"/>
      <c r="F254" s="435"/>
      <c r="G254" s="331"/>
      <c r="H254" s="331"/>
      <c r="I254" s="331"/>
      <c r="J254" s="363"/>
      <c r="K254" s="363"/>
      <c r="L254" s="331"/>
      <c r="M254" s="363"/>
      <c r="N254" s="455"/>
      <c r="O254" s="362"/>
      <c r="P254" s="362"/>
      <c r="R254" s="273"/>
      <c r="S254" s="155"/>
    </row>
    <row r="255" spans="1:19" s="149" customFormat="1" ht="26.25" customHeight="1" x14ac:dyDescent="0.25">
      <c r="A255" s="246"/>
      <c r="B255" s="279"/>
      <c r="C255" s="279"/>
      <c r="D255" s="280"/>
      <c r="E255" s="280"/>
      <c r="F255" s="280"/>
      <c r="G255" s="280">
        <f>SUM(G227:G253)</f>
        <v>23</v>
      </c>
      <c r="H255" s="280">
        <f>SUM(H227:H253)</f>
        <v>11</v>
      </c>
      <c r="I255" s="280"/>
      <c r="J255" s="279"/>
      <c r="K255" s="279"/>
      <c r="L255" s="280"/>
      <c r="M255" s="280"/>
      <c r="N255" s="155"/>
      <c r="O255" s="155"/>
      <c r="P255" s="155"/>
      <c r="Q255" s="155"/>
      <c r="R255" s="270"/>
      <c r="S255" s="155"/>
    </row>
    <row r="256" spans="1:19" s="149" customFormat="1" ht="26.25" customHeight="1" x14ac:dyDescent="0.25">
      <c r="A256" s="28"/>
      <c r="B256" s="29"/>
      <c r="C256" s="29"/>
      <c r="D256" s="20"/>
      <c r="E256" s="20"/>
      <c r="F256" s="20"/>
      <c r="G256" s="20"/>
      <c r="H256" s="20"/>
      <c r="I256" s="20"/>
      <c r="J256" s="29"/>
      <c r="K256" s="29"/>
      <c r="L256" s="20"/>
      <c r="M256" s="20"/>
      <c r="N256"/>
      <c r="O256"/>
      <c r="P256"/>
      <c r="Q256"/>
      <c r="R256" s="309"/>
      <c r="S256"/>
    </row>
    <row r="257" spans="1:19" ht="26.25" customHeight="1" x14ac:dyDescent="0.25">
      <c r="A257" s="6"/>
      <c r="B257" s="320" t="s">
        <v>331</v>
      </c>
      <c r="C257" s="320"/>
      <c r="D257" s="321"/>
      <c r="E257" s="321"/>
      <c r="F257" s="321"/>
      <c r="G257" s="321"/>
      <c r="H257" s="320"/>
      <c r="I257" s="320"/>
      <c r="J257" s="320"/>
      <c r="K257" s="320"/>
      <c r="L257" s="6"/>
      <c r="M257" s="7"/>
      <c r="R257" s="66"/>
    </row>
    <row r="258" spans="1:19" ht="15.75" customHeight="1" x14ac:dyDescent="0.25">
      <c r="A258" s="6"/>
      <c r="B258" s="7"/>
      <c r="C258" s="7"/>
      <c r="D258" s="6"/>
      <c r="E258" s="6"/>
      <c r="F258" s="6"/>
      <c r="G258" s="6"/>
      <c r="H258" s="7"/>
      <c r="I258" s="7"/>
      <c r="J258" s="7"/>
      <c r="K258" s="7"/>
      <c r="L258" s="6"/>
      <c r="M258" s="7"/>
      <c r="R258" s="66"/>
    </row>
    <row r="259" spans="1:19" ht="26.25" customHeight="1" x14ac:dyDescent="0.25">
      <c r="A259" s="2"/>
      <c r="B259" s="314" t="s">
        <v>65</v>
      </c>
      <c r="C259" s="5"/>
      <c r="E259" s="7"/>
      <c r="F259" s="6"/>
      <c r="G259" s="2"/>
      <c r="H259" s="2"/>
      <c r="I259" s="2"/>
      <c r="J259" s="5"/>
      <c r="K259" s="5"/>
      <c r="L259" s="2"/>
      <c r="M259" s="5"/>
      <c r="R259" s="66"/>
    </row>
    <row r="260" spans="1:19" ht="14.25" customHeight="1" x14ac:dyDescent="0.25">
      <c r="A260" s="2"/>
      <c r="B260" s="5"/>
      <c r="C260" s="5"/>
      <c r="D260" s="2"/>
      <c r="E260" s="2"/>
      <c r="F260" s="2"/>
      <c r="G260" s="2"/>
      <c r="H260" s="2"/>
      <c r="I260" s="2"/>
      <c r="J260" s="5"/>
      <c r="K260" s="5"/>
      <c r="L260" s="2"/>
      <c r="M260" s="2"/>
      <c r="R260" s="66"/>
    </row>
    <row r="261" spans="1:19" ht="26.25" customHeight="1" thickBot="1" x14ac:dyDescent="0.3">
      <c r="A261" s="9" t="s">
        <v>1</v>
      </c>
      <c r="B261" s="440" t="s">
        <v>2</v>
      </c>
      <c r="C261" s="372" t="s">
        <v>3</v>
      </c>
      <c r="D261" s="375" t="s">
        <v>4</v>
      </c>
      <c r="E261" s="10" t="s">
        <v>5</v>
      </c>
      <c r="F261" s="10" t="s">
        <v>6</v>
      </c>
      <c r="G261" s="11"/>
      <c r="H261" s="12" t="s">
        <v>7</v>
      </c>
      <c r="I261" s="13"/>
      <c r="J261" s="498" t="s">
        <v>8</v>
      </c>
      <c r="K261" s="14" t="s">
        <v>9</v>
      </c>
      <c r="L261" s="205" t="s">
        <v>10</v>
      </c>
      <c r="M261" s="369" t="s">
        <v>11</v>
      </c>
      <c r="N261" s="59" t="s">
        <v>12</v>
      </c>
      <c r="O261" s="63"/>
      <c r="P261" s="63" t="s">
        <v>13</v>
      </c>
      <c r="Q261" s="63"/>
      <c r="R261" s="488" t="s">
        <v>201</v>
      </c>
      <c r="S261" s="489"/>
    </row>
    <row r="262" spans="1:19" ht="38.25" x14ac:dyDescent="0.25">
      <c r="A262" s="181" t="s">
        <v>14</v>
      </c>
      <c r="B262" s="440"/>
      <c r="C262" s="182"/>
      <c r="D262" s="183"/>
      <c r="E262" s="181" t="s">
        <v>15</v>
      </c>
      <c r="F262" s="181" t="s">
        <v>16</v>
      </c>
      <c r="G262" s="190" t="s">
        <v>17</v>
      </c>
      <c r="H262" s="190" t="s">
        <v>18</v>
      </c>
      <c r="I262" s="190" t="s">
        <v>19</v>
      </c>
      <c r="J262" s="499"/>
      <c r="K262" s="184"/>
      <c r="L262" s="185"/>
      <c r="M262" s="374" t="s">
        <v>20</v>
      </c>
      <c r="N262" s="186" t="s">
        <v>21</v>
      </c>
      <c r="O262" s="181" t="s">
        <v>17</v>
      </c>
      <c r="P262" s="181" t="s">
        <v>18</v>
      </c>
      <c r="Q262" s="181" t="s">
        <v>19</v>
      </c>
      <c r="R262" s="181" t="s">
        <v>17</v>
      </c>
      <c r="S262" s="181" t="s">
        <v>18</v>
      </c>
    </row>
    <row r="263" spans="1:19" x14ac:dyDescent="0.25">
      <c r="A263" s="434">
        <v>1</v>
      </c>
      <c r="B263" s="438" t="s">
        <v>154</v>
      </c>
      <c r="C263" s="441" t="s">
        <v>35</v>
      </c>
      <c r="D263" s="434" t="s">
        <v>24</v>
      </c>
      <c r="E263" s="434" t="s">
        <v>25</v>
      </c>
      <c r="F263" s="434" t="s">
        <v>321</v>
      </c>
      <c r="G263" s="355">
        <v>3</v>
      </c>
      <c r="H263" s="47"/>
      <c r="I263" s="47"/>
      <c r="J263" s="55" t="s">
        <v>466</v>
      </c>
      <c r="K263" s="48" t="s">
        <v>564</v>
      </c>
      <c r="L263" s="47" t="s">
        <v>17</v>
      </c>
      <c r="M263" s="48" t="s">
        <v>26</v>
      </c>
      <c r="N263" s="467"/>
      <c r="O263" s="166">
        <v>1</v>
      </c>
      <c r="P263" s="136"/>
      <c r="Q263" s="136"/>
      <c r="R263" s="273">
        <f>G263*O263</f>
        <v>3</v>
      </c>
      <c r="S263" s="155"/>
    </row>
    <row r="264" spans="1:19" ht="15.75" customHeight="1" x14ac:dyDescent="0.25">
      <c r="A264" s="435"/>
      <c r="B264" s="439"/>
      <c r="C264" s="442"/>
      <c r="D264" s="435"/>
      <c r="E264" s="435"/>
      <c r="F264" s="435"/>
      <c r="G264" s="361"/>
      <c r="H264" s="191"/>
      <c r="I264" s="47"/>
      <c r="J264" s="48"/>
      <c r="K264" s="48"/>
      <c r="L264" s="47"/>
      <c r="M264" s="48"/>
      <c r="N264" s="468"/>
      <c r="O264" s="166">
        <v>1</v>
      </c>
      <c r="P264" s="136"/>
      <c r="Q264" s="136"/>
      <c r="R264" s="273">
        <f>G264*O264</f>
        <v>0</v>
      </c>
      <c r="S264" s="155"/>
    </row>
    <row r="265" spans="1:19" ht="15.75" customHeight="1" x14ac:dyDescent="0.25">
      <c r="A265" s="435"/>
      <c r="B265" s="439"/>
      <c r="C265" s="442"/>
      <c r="D265" s="435"/>
      <c r="E265" s="435"/>
      <c r="F265" s="435"/>
      <c r="G265" s="47"/>
      <c r="H265" s="245">
        <v>2</v>
      </c>
      <c r="I265" s="331"/>
      <c r="J265" s="363"/>
      <c r="K265" s="363"/>
      <c r="L265" s="331"/>
      <c r="M265" s="363"/>
      <c r="N265" s="469"/>
      <c r="O265" s="166"/>
      <c r="P265" s="136"/>
      <c r="Q265" s="136"/>
      <c r="R265" s="273"/>
      <c r="S265" s="155"/>
    </row>
    <row r="266" spans="1:19" ht="15.75" customHeight="1" x14ac:dyDescent="0.25">
      <c r="A266" s="434">
        <v>2</v>
      </c>
      <c r="B266" s="438" t="s">
        <v>155</v>
      </c>
      <c r="C266" s="441" t="s">
        <v>35</v>
      </c>
      <c r="D266" s="434" t="s">
        <v>24</v>
      </c>
      <c r="E266" s="434" t="s">
        <v>25</v>
      </c>
      <c r="F266" s="434" t="s">
        <v>321</v>
      </c>
      <c r="G266" s="355">
        <v>1</v>
      </c>
      <c r="H266" s="47"/>
      <c r="I266" s="47"/>
      <c r="J266" s="48" t="s">
        <v>454</v>
      </c>
      <c r="K266" s="48" t="s">
        <v>28</v>
      </c>
      <c r="L266" s="47" t="s">
        <v>17</v>
      </c>
      <c r="M266" s="48" t="s">
        <v>26</v>
      </c>
      <c r="N266" s="467"/>
      <c r="O266" s="166">
        <v>1</v>
      </c>
      <c r="P266" s="136"/>
      <c r="Q266" s="136"/>
      <c r="R266" s="273">
        <f>G266*O266</f>
        <v>1</v>
      </c>
      <c r="S266" s="155"/>
    </row>
    <row r="267" spans="1:19" x14ac:dyDescent="0.25">
      <c r="A267" s="435"/>
      <c r="B267" s="439"/>
      <c r="C267" s="442"/>
      <c r="D267" s="435"/>
      <c r="E267" s="435"/>
      <c r="F267" s="435"/>
      <c r="G267" s="361">
        <v>1</v>
      </c>
      <c r="H267" s="191"/>
      <c r="I267" s="47"/>
      <c r="J267" s="48" t="s">
        <v>461</v>
      </c>
      <c r="K267" s="48" t="s">
        <v>82</v>
      </c>
      <c r="L267" s="47" t="s">
        <v>17</v>
      </c>
      <c r="M267" s="48" t="s">
        <v>26</v>
      </c>
      <c r="N267" s="468"/>
      <c r="O267" s="166">
        <v>1</v>
      </c>
      <c r="P267" s="136"/>
      <c r="Q267" s="136"/>
      <c r="R267" s="273">
        <f>G267*O267</f>
        <v>1</v>
      </c>
      <c r="S267" s="155"/>
    </row>
    <row r="268" spans="1:19" ht="15.75" customHeight="1" x14ac:dyDescent="0.25">
      <c r="A268" s="435"/>
      <c r="B268" s="439"/>
      <c r="C268" s="442"/>
      <c r="D268" s="435"/>
      <c r="E268" s="435"/>
      <c r="F268" s="435"/>
      <c r="G268" s="47"/>
      <c r="H268" s="245">
        <v>2</v>
      </c>
      <c r="I268" s="331"/>
      <c r="J268" s="363"/>
      <c r="K268" s="363"/>
      <c r="L268" s="331"/>
      <c r="M268" s="363"/>
      <c r="N268" s="469"/>
      <c r="O268" s="166"/>
      <c r="P268" s="136"/>
      <c r="Q268" s="136"/>
      <c r="R268" s="274"/>
      <c r="S268" s="155"/>
    </row>
    <row r="269" spans="1:19" s="61" customFormat="1" x14ac:dyDescent="0.25">
      <c r="A269" s="452">
        <v>3</v>
      </c>
      <c r="B269" s="431" t="s">
        <v>156</v>
      </c>
      <c r="C269" s="520" t="s">
        <v>35</v>
      </c>
      <c r="D269" s="446" t="s">
        <v>24</v>
      </c>
      <c r="E269" s="446" t="s">
        <v>25</v>
      </c>
      <c r="F269" s="446" t="s">
        <v>320</v>
      </c>
      <c r="G269" s="332">
        <v>1</v>
      </c>
      <c r="H269" s="288"/>
      <c r="I269" s="288"/>
      <c r="J269" s="251" t="s">
        <v>409</v>
      </c>
      <c r="K269" s="48" t="s">
        <v>43</v>
      </c>
      <c r="L269" s="331" t="s">
        <v>17</v>
      </c>
      <c r="M269" s="363" t="s">
        <v>26</v>
      </c>
      <c r="N269" s="453"/>
      <c r="O269" s="166">
        <v>1</v>
      </c>
      <c r="P269" s="136"/>
      <c r="Q269" s="136"/>
      <c r="R269" s="273">
        <f t="shared" ref="R269:R270" si="74">G269*O269</f>
        <v>1</v>
      </c>
      <c r="S269" s="155"/>
    </row>
    <row r="270" spans="1:19" s="61" customFormat="1" ht="15.75" customHeight="1" x14ac:dyDescent="0.25">
      <c r="A270" s="447"/>
      <c r="B270" s="436"/>
      <c r="C270" s="521"/>
      <c r="D270" s="527"/>
      <c r="E270" s="527"/>
      <c r="F270" s="527"/>
      <c r="G270" s="373">
        <v>1</v>
      </c>
      <c r="H270" s="292"/>
      <c r="I270" s="288"/>
      <c r="J270" s="48" t="s">
        <v>485</v>
      </c>
      <c r="K270" s="48" t="s">
        <v>82</v>
      </c>
      <c r="L270" s="47" t="s">
        <v>17</v>
      </c>
      <c r="M270" s="48" t="s">
        <v>26</v>
      </c>
      <c r="N270" s="454"/>
      <c r="O270" s="166">
        <v>1</v>
      </c>
      <c r="P270" s="136"/>
      <c r="Q270" s="136"/>
      <c r="R270" s="273">
        <f t="shared" si="74"/>
        <v>1</v>
      </c>
      <c r="S270" s="155"/>
    </row>
    <row r="271" spans="1:19" s="61" customFormat="1" ht="15.75" customHeight="1" x14ac:dyDescent="0.25">
      <c r="A271" s="447"/>
      <c r="B271" s="459"/>
      <c r="C271" s="522"/>
      <c r="D271" s="528"/>
      <c r="E271" s="528"/>
      <c r="F271" s="528"/>
      <c r="G271" s="288"/>
      <c r="H271" s="293">
        <v>1</v>
      </c>
      <c r="I271" s="334"/>
      <c r="J271" s="48"/>
      <c r="K271" s="48"/>
      <c r="L271" s="47"/>
      <c r="M271" s="48"/>
      <c r="N271" s="455"/>
      <c r="O271" s="166"/>
      <c r="P271" s="136"/>
      <c r="Q271" s="136"/>
      <c r="R271" s="274"/>
      <c r="S271" s="155"/>
    </row>
    <row r="272" spans="1:19" x14ac:dyDescent="0.25">
      <c r="A272" s="447"/>
      <c r="B272" s="438" t="s">
        <v>157</v>
      </c>
      <c r="C272" s="441" t="s">
        <v>35</v>
      </c>
      <c r="D272" s="434" t="s">
        <v>24</v>
      </c>
      <c r="E272" s="434" t="s">
        <v>25</v>
      </c>
      <c r="F272" s="434" t="s">
        <v>320</v>
      </c>
      <c r="G272" s="355">
        <v>1</v>
      </c>
      <c r="H272" s="47"/>
      <c r="I272" s="47"/>
      <c r="J272" s="363" t="s">
        <v>481</v>
      </c>
      <c r="K272" s="363" t="s">
        <v>28</v>
      </c>
      <c r="L272" s="331" t="s">
        <v>37</v>
      </c>
      <c r="M272" s="363" t="s">
        <v>514</v>
      </c>
      <c r="N272" s="453"/>
      <c r="O272" s="166">
        <v>1</v>
      </c>
      <c r="P272" s="136"/>
      <c r="Q272" s="136"/>
      <c r="R272" s="273">
        <f>G272*O272</f>
        <v>1</v>
      </c>
      <c r="S272" s="155"/>
    </row>
    <row r="273" spans="1:19" ht="15.75" customHeight="1" x14ac:dyDescent="0.25">
      <c r="A273" s="447"/>
      <c r="B273" s="439"/>
      <c r="C273" s="442"/>
      <c r="D273" s="435"/>
      <c r="E273" s="435"/>
      <c r="F273" s="435"/>
      <c r="G273" s="361">
        <v>1</v>
      </c>
      <c r="H273" s="191"/>
      <c r="I273" s="47"/>
      <c r="J273" s="48" t="s">
        <v>458</v>
      </c>
      <c r="K273" s="48" t="s">
        <v>82</v>
      </c>
      <c r="L273" s="47" t="s">
        <v>17</v>
      </c>
      <c r="M273" s="48" t="s">
        <v>26</v>
      </c>
      <c r="N273" s="454"/>
      <c r="O273" s="166">
        <v>1</v>
      </c>
      <c r="P273" s="136"/>
      <c r="Q273" s="136"/>
      <c r="R273" s="273">
        <f>G273*O273</f>
        <v>1</v>
      </c>
      <c r="S273" s="155"/>
    </row>
    <row r="274" spans="1:19" ht="15.75" customHeight="1" x14ac:dyDescent="0.25">
      <c r="A274" s="448"/>
      <c r="B274" s="439"/>
      <c r="C274" s="442"/>
      <c r="D274" s="435"/>
      <c r="E274" s="435"/>
      <c r="F274" s="435"/>
      <c r="G274" s="47"/>
      <c r="H274" s="245">
        <v>1</v>
      </c>
      <c r="I274" s="331"/>
      <c r="J274" s="363"/>
      <c r="K274" s="363"/>
      <c r="L274" s="331"/>
      <c r="M274" s="363"/>
      <c r="N274" s="455"/>
      <c r="O274" s="166"/>
      <c r="P274" s="136"/>
      <c r="Q274" s="136"/>
      <c r="R274" s="274"/>
      <c r="S274" s="155"/>
    </row>
    <row r="275" spans="1:19" ht="15.75" customHeight="1" x14ac:dyDescent="0.25">
      <c r="A275" s="434">
        <v>4</v>
      </c>
      <c r="B275" s="431" t="s">
        <v>158</v>
      </c>
      <c r="C275" s="48" t="s">
        <v>35</v>
      </c>
      <c r="D275" s="47" t="s">
        <v>24</v>
      </c>
      <c r="E275" s="47" t="s">
        <v>25</v>
      </c>
      <c r="F275" s="47" t="s">
        <v>320</v>
      </c>
      <c r="G275" s="47">
        <v>2</v>
      </c>
      <c r="H275" s="47"/>
      <c r="I275" s="47"/>
      <c r="J275" s="55" t="s">
        <v>451</v>
      </c>
      <c r="K275" s="298" t="s">
        <v>28</v>
      </c>
      <c r="L275" s="73" t="s">
        <v>17</v>
      </c>
      <c r="M275" s="55" t="s">
        <v>26</v>
      </c>
      <c r="N275" s="453"/>
      <c r="O275" s="265">
        <v>1</v>
      </c>
      <c r="P275" s="266"/>
      <c r="Q275" s="267"/>
      <c r="R275" s="273">
        <f>G275*O275</f>
        <v>2</v>
      </c>
      <c r="S275" s="155"/>
    </row>
    <row r="276" spans="1:19" ht="15.75" customHeight="1" x14ac:dyDescent="0.25">
      <c r="A276" s="434"/>
      <c r="B276" s="433"/>
      <c r="C276" s="48"/>
      <c r="D276" s="47"/>
      <c r="E276" s="47"/>
      <c r="F276" s="47"/>
      <c r="G276" s="47"/>
      <c r="H276" s="331">
        <v>1</v>
      </c>
      <c r="I276" s="331"/>
      <c r="J276" s="363"/>
      <c r="K276" s="363"/>
      <c r="L276" s="331"/>
      <c r="M276" s="363"/>
      <c r="N276" s="455"/>
      <c r="O276" s="265"/>
      <c r="P276" s="266"/>
      <c r="Q276" s="267"/>
      <c r="R276" s="273"/>
      <c r="S276" s="155"/>
    </row>
    <row r="277" spans="1:19" x14ac:dyDescent="0.25">
      <c r="A277" s="435"/>
      <c r="B277" s="431" t="s">
        <v>159</v>
      </c>
      <c r="C277" s="48" t="s">
        <v>35</v>
      </c>
      <c r="D277" s="47" t="s">
        <v>24</v>
      </c>
      <c r="E277" s="47" t="s">
        <v>25</v>
      </c>
      <c r="F277" s="47" t="s">
        <v>320</v>
      </c>
      <c r="G277" s="47">
        <v>2</v>
      </c>
      <c r="H277" s="47"/>
      <c r="I277" s="47"/>
      <c r="J277" s="55" t="s">
        <v>451</v>
      </c>
      <c r="K277" s="298" t="s">
        <v>28</v>
      </c>
      <c r="L277" s="73" t="s">
        <v>17</v>
      </c>
      <c r="M277" s="55" t="s">
        <v>26</v>
      </c>
      <c r="N277" s="454"/>
      <c r="O277" s="265">
        <v>0</v>
      </c>
      <c r="P277" s="266"/>
      <c r="Q277" s="267"/>
      <c r="R277" s="273">
        <f>G277*O277</f>
        <v>0</v>
      </c>
      <c r="S277" s="155"/>
    </row>
    <row r="278" spans="1:19" ht="15.75" customHeight="1" x14ac:dyDescent="0.25">
      <c r="A278" s="435"/>
      <c r="B278" s="433"/>
      <c r="C278" s="48"/>
      <c r="D278" s="47"/>
      <c r="E278" s="47"/>
      <c r="F278" s="47"/>
      <c r="G278" s="47"/>
      <c r="H278" s="331">
        <v>1</v>
      </c>
      <c r="I278" s="331"/>
      <c r="J278" s="363"/>
      <c r="K278" s="363"/>
      <c r="L278" s="331"/>
      <c r="M278" s="363"/>
      <c r="N278" s="455"/>
      <c r="O278" s="166"/>
      <c r="P278" s="264"/>
      <c r="Q278" s="136"/>
      <c r="R278" s="274"/>
      <c r="S278" s="155"/>
    </row>
    <row r="279" spans="1:19" ht="25.5" x14ac:dyDescent="0.25">
      <c r="A279" s="434">
        <v>5</v>
      </c>
      <c r="B279" s="431" t="s">
        <v>160</v>
      </c>
      <c r="C279" s="48" t="s">
        <v>35</v>
      </c>
      <c r="D279" s="47" t="s">
        <v>24</v>
      </c>
      <c r="E279" s="47" t="s">
        <v>25</v>
      </c>
      <c r="F279" s="47" t="s">
        <v>320</v>
      </c>
      <c r="G279" s="355">
        <v>2</v>
      </c>
      <c r="H279" s="47"/>
      <c r="I279" s="47"/>
      <c r="J279" s="377" t="s">
        <v>555</v>
      </c>
      <c r="K279" s="397" t="s">
        <v>82</v>
      </c>
      <c r="L279" s="56" t="s">
        <v>41</v>
      </c>
      <c r="M279" s="363" t="s">
        <v>552</v>
      </c>
      <c r="N279" s="453"/>
      <c r="O279" s="265">
        <v>1</v>
      </c>
      <c r="P279" s="266"/>
      <c r="Q279" s="267"/>
      <c r="R279" s="273">
        <f>G279*O279</f>
        <v>2</v>
      </c>
      <c r="S279" s="155"/>
    </row>
    <row r="280" spans="1:19" x14ac:dyDescent="0.25">
      <c r="A280" s="434"/>
      <c r="B280" s="432"/>
      <c r="C280" s="48"/>
      <c r="D280" s="47"/>
      <c r="E280" s="47"/>
      <c r="F280" s="47"/>
      <c r="G280" s="355"/>
      <c r="H280" s="47"/>
      <c r="I280" s="47"/>
      <c r="J280" s="151"/>
      <c r="K280" s="363"/>
      <c r="L280" s="56"/>
      <c r="M280" s="363"/>
      <c r="N280" s="471"/>
      <c r="O280" s="265"/>
      <c r="P280" s="266"/>
      <c r="Q280" s="267"/>
      <c r="R280" s="273">
        <f>G280*O280</f>
        <v>0</v>
      </c>
      <c r="S280" s="155"/>
    </row>
    <row r="281" spans="1:19" ht="15.75" customHeight="1" x14ac:dyDescent="0.25">
      <c r="A281" s="434"/>
      <c r="B281" s="433"/>
      <c r="C281" s="48"/>
      <c r="D281" s="47"/>
      <c r="E281" s="47"/>
      <c r="F281" s="47"/>
      <c r="G281" s="47"/>
      <c r="H281" s="331">
        <v>1</v>
      </c>
      <c r="I281" s="331"/>
      <c r="J281" s="363"/>
      <c r="K281" s="363"/>
      <c r="L281" s="331"/>
      <c r="M281" s="363"/>
      <c r="N281" s="455"/>
      <c r="O281" s="265"/>
      <c r="P281" s="266"/>
      <c r="Q281" s="267"/>
      <c r="R281" s="273"/>
      <c r="S281" s="155"/>
    </row>
    <row r="282" spans="1:19" ht="25.5" customHeight="1" x14ac:dyDescent="0.25">
      <c r="A282" s="435"/>
      <c r="B282" s="431" t="s">
        <v>161</v>
      </c>
      <c r="C282" s="48" t="s">
        <v>35</v>
      </c>
      <c r="D282" s="47" t="s">
        <v>24</v>
      </c>
      <c r="E282" s="47" t="s">
        <v>25</v>
      </c>
      <c r="F282" s="47" t="s">
        <v>320</v>
      </c>
      <c r="G282" s="355">
        <v>2</v>
      </c>
      <c r="H282" s="47"/>
      <c r="I282" s="47"/>
      <c r="J282" s="363" t="s">
        <v>452</v>
      </c>
      <c r="K282" s="48" t="s">
        <v>82</v>
      </c>
      <c r="L282" s="47" t="s">
        <v>17</v>
      </c>
      <c r="M282" s="152" t="s">
        <v>26</v>
      </c>
      <c r="N282" s="470"/>
      <c r="O282" s="265">
        <v>1</v>
      </c>
      <c r="P282" s="266"/>
      <c r="Q282" s="267"/>
      <c r="R282" s="273">
        <f t="shared" ref="R282:R283" si="75">G282*O282</f>
        <v>2</v>
      </c>
      <c r="S282" s="155"/>
    </row>
    <row r="283" spans="1:19" x14ac:dyDescent="0.25">
      <c r="A283" s="435"/>
      <c r="B283" s="436"/>
      <c r="C283" s="48"/>
      <c r="D283" s="47"/>
      <c r="E283" s="47"/>
      <c r="F283" s="47"/>
      <c r="G283" s="355"/>
      <c r="H283" s="47"/>
      <c r="I283" s="47"/>
      <c r="J283" s="423" t="s">
        <v>452</v>
      </c>
      <c r="K283" s="421" t="s">
        <v>82</v>
      </c>
      <c r="L283" s="420" t="s">
        <v>17</v>
      </c>
      <c r="M283" s="421" t="s">
        <v>26</v>
      </c>
      <c r="N283" s="454"/>
      <c r="O283" s="265">
        <v>1</v>
      </c>
      <c r="P283" s="266"/>
      <c r="Q283" s="267"/>
      <c r="R283" s="273">
        <f t="shared" si="75"/>
        <v>0</v>
      </c>
      <c r="S283" s="155"/>
    </row>
    <row r="284" spans="1:19" ht="15.75" customHeight="1" x14ac:dyDescent="0.25">
      <c r="A284" s="435"/>
      <c r="B284" s="433"/>
      <c r="C284" s="48"/>
      <c r="D284" s="47"/>
      <c r="E284" s="47"/>
      <c r="F284" s="47"/>
      <c r="G284" s="47"/>
      <c r="H284" s="331">
        <v>1</v>
      </c>
      <c r="I284" s="331"/>
      <c r="J284" s="363"/>
      <c r="K284" s="363"/>
      <c r="L284" s="331"/>
      <c r="M284" s="363"/>
      <c r="N284" s="455"/>
      <c r="O284" s="166"/>
      <c r="P284" s="264"/>
      <c r="Q284" s="136"/>
      <c r="R284" s="274"/>
      <c r="S284" s="155"/>
    </row>
    <row r="285" spans="1:19" ht="14.45" customHeight="1" x14ac:dyDescent="0.25">
      <c r="A285" s="434">
        <v>6</v>
      </c>
      <c r="B285" s="431" t="s">
        <v>162</v>
      </c>
      <c r="C285" s="48" t="s">
        <v>35</v>
      </c>
      <c r="D285" s="47" t="s">
        <v>36</v>
      </c>
      <c r="E285" s="47" t="s">
        <v>25</v>
      </c>
      <c r="F285" s="47" t="s">
        <v>321</v>
      </c>
      <c r="G285" s="47">
        <v>2</v>
      </c>
      <c r="H285" s="47"/>
      <c r="I285" s="47"/>
      <c r="J285" s="48" t="s">
        <v>454</v>
      </c>
      <c r="K285" s="48" t="s">
        <v>28</v>
      </c>
      <c r="L285" s="47" t="s">
        <v>17</v>
      </c>
      <c r="M285" s="48" t="s">
        <v>26</v>
      </c>
      <c r="N285" s="453"/>
      <c r="O285" s="265">
        <v>1</v>
      </c>
      <c r="P285" s="266"/>
      <c r="Q285" s="267"/>
      <c r="R285" s="273">
        <f>G285*O285</f>
        <v>2</v>
      </c>
      <c r="S285" s="155"/>
    </row>
    <row r="286" spans="1:19" ht="15.75" customHeight="1" x14ac:dyDescent="0.25">
      <c r="A286" s="435"/>
      <c r="B286" s="433"/>
      <c r="C286" s="48"/>
      <c r="D286" s="47"/>
      <c r="E286" s="47"/>
      <c r="F286" s="47"/>
      <c r="G286" s="47"/>
      <c r="H286" s="331">
        <v>3</v>
      </c>
      <c r="I286" s="331"/>
      <c r="J286" s="363"/>
      <c r="K286" s="363"/>
      <c r="L286" s="331"/>
      <c r="M286" s="363"/>
      <c r="N286" s="455"/>
      <c r="O286" s="357"/>
      <c r="P286" s="362"/>
      <c r="Q286" s="61"/>
      <c r="R286" s="270"/>
      <c r="S286" s="155"/>
    </row>
    <row r="287" spans="1:19" ht="15.75" customHeight="1" x14ac:dyDescent="0.25">
      <c r="A287" s="446">
        <v>7</v>
      </c>
      <c r="B287" s="438" t="s">
        <v>163</v>
      </c>
      <c r="C287" s="441" t="s">
        <v>35</v>
      </c>
      <c r="D287" s="434" t="s">
        <v>24</v>
      </c>
      <c r="E287" s="434" t="s">
        <v>25</v>
      </c>
      <c r="F287" s="434" t="s">
        <v>320</v>
      </c>
      <c r="G287" s="355">
        <v>1</v>
      </c>
      <c r="H287" s="47"/>
      <c r="I287" s="47"/>
      <c r="J287" s="55" t="s">
        <v>466</v>
      </c>
      <c r="K287" s="48" t="s">
        <v>564</v>
      </c>
      <c r="L287" s="47" t="s">
        <v>17</v>
      </c>
      <c r="M287" s="48" t="s">
        <v>26</v>
      </c>
      <c r="N287" s="453"/>
      <c r="O287" s="389">
        <v>0</v>
      </c>
      <c r="P287" s="136"/>
      <c r="Q287" s="136"/>
      <c r="R287" s="273">
        <f>G287*O287</f>
        <v>0</v>
      </c>
      <c r="S287" s="155"/>
    </row>
    <row r="288" spans="1:19" ht="15.75" customHeight="1" x14ac:dyDescent="0.25">
      <c r="A288" s="447"/>
      <c r="B288" s="439"/>
      <c r="C288" s="442"/>
      <c r="D288" s="435"/>
      <c r="E288" s="435"/>
      <c r="F288" s="435"/>
      <c r="G288" s="361">
        <v>1</v>
      </c>
      <c r="H288" s="191"/>
      <c r="I288" s="47"/>
      <c r="J288" s="48" t="s">
        <v>455</v>
      </c>
      <c r="K288" s="48" t="s">
        <v>28</v>
      </c>
      <c r="L288" s="47" t="s">
        <v>17</v>
      </c>
      <c r="M288" s="48" t="s">
        <v>26</v>
      </c>
      <c r="N288" s="454"/>
      <c r="O288" s="389">
        <v>0</v>
      </c>
      <c r="P288" s="136"/>
      <c r="Q288" s="136"/>
      <c r="R288" s="273">
        <f>G288*O288</f>
        <v>0</v>
      </c>
      <c r="S288" s="155"/>
    </row>
    <row r="289" spans="1:19" ht="15.75" customHeight="1" x14ac:dyDescent="0.25">
      <c r="A289" s="447"/>
      <c r="B289" s="439"/>
      <c r="C289" s="442"/>
      <c r="D289" s="435"/>
      <c r="E289" s="435"/>
      <c r="F289" s="435"/>
      <c r="G289" s="47"/>
      <c r="H289" s="245">
        <v>1</v>
      </c>
      <c r="I289" s="331"/>
      <c r="J289" s="363"/>
      <c r="K289" s="363"/>
      <c r="L289" s="331"/>
      <c r="M289" s="363"/>
      <c r="N289" s="455"/>
      <c r="O289" s="166"/>
      <c r="P289" s="136"/>
      <c r="Q289" s="136"/>
      <c r="R289" s="274"/>
      <c r="S289" s="155"/>
    </row>
    <row r="290" spans="1:19" ht="15.75" customHeight="1" x14ac:dyDescent="0.25">
      <c r="A290" s="447"/>
      <c r="B290" s="431" t="s">
        <v>164</v>
      </c>
      <c r="C290" s="48" t="s">
        <v>35</v>
      </c>
      <c r="D290" s="47" t="s">
        <v>36</v>
      </c>
      <c r="E290" s="47" t="s">
        <v>25</v>
      </c>
      <c r="F290" s="47" t="s">
        <v>320</v>
      </c>
      <c r="G290" s="355">
        <v>1</v>
      </c>
      <c r="H290" s="47"/>
      <c r="I290" s="47"/>
      <c r="J290" s="48" t="s">
        <v>465</v>
      </c>
      <c r="K290" s="48" t="s">
        <v>82</v>
      </c>
      <c r="L290" s="47" t="s">
        <v>17</v>
      </c>
      <c r="M290" s="48" t="s">
        <v>26</v>
      </c>
      <c r="N290" s="470"/>
      <c r="O290" s="268">
        <v>1</v>
      </c>
      <c r="P290" s="244"/>
      <c r="Q290" s="269"/>
      <c r="R290" s="223">
        <f>G290*O290</f>
        <v>1</v>
      </c>
      <c r="S290" s="155"/>
    </row>
    <row r="291" spans="1:19" x14ac:dyDescent="0.25">
      <c r="A291" s="447"/>
      <c r="B291" s="432"/>
      <c r="C291" s="48" t="s">
        <v>35</v>
      </c>
      <c r="D291" s="47" t="s">
        <v>36</v>
      </c>
      <c r="E291" s="47" t="s">
        <v>25</v>
      </c>
      <c r="F291" s="47" t="s">
        <v>320</v>
      </c>
      <c r="G291" s="356">
        <v>1</v>
      </c>
      <c r="H291" s="47"/>
      <c r="I291" s="47"/>
      <c r="J291" s="48" t="s">
        <v>454</v>
      </c>
      <c r="K291" s="48" t="s">
        <v>28</v>
      </c>
      <c r="L291" s="47" t="s">
        <v>17</v>
      </c>
      <c r="M291" s="48" t="s">
        <v>26</v>
      </c>
      <c r="N291" s="454"/>
      <c r="O291" s="268">
        <v>1</v>
      </c>
      <c r="P291" s="244"/>
      <c r="Q291" s="269"/>
      <c r="R291" s="223">
        <f>G291*O291</f>
        <v>1</v>
      </c>
      <c r="S291" s="155"/>
    </row>
    <row r="292" spans="1:19" x14ac:dyDescent="0.25">
      <c r="A292" s="448"/>
      <c r="B292" s="433"/>
      <c r="C292" s="48"/>
      <c r="D292" s="47"/>
      <c r="E292" s="47"/>
      <c r="F292" s="47"/>
      <c r="G292" s="47"/>
      <c r="H292" s="331">
        <v>1</v>
      </c>
      <c r="I292" s="331"/>
      <c r="J292" s="363"/>
      <c r="K292" s="363"/>
      <c r="L292" s="331"/>
      <c r="M292" s="363"/>
      <c r="N292" s="455"/>
      <c r="O292" s="357"/>
      <c r="P292" s="362"/>
      <c r="Q292" s="61"/>
      <c r="R292" s="270"/>
      <c r="S292" s="155"/>
    </row>
    <row r="293" spans="1:19" ht="15.75" customHeight="1" x14ac:dyDescent="0.25">
      <c r="A293" s="434">
        <v>8</v>
      </c>
      <c r="B293" s="431" t="s">
        <v>165</v>
      </c>
      <c r="C293" s="48" t="s">
        <v>35</v>
      </c>
      <c r="D293" s="47" t="s">
        <v>36</v>
      </c>
      <c r="E293" s="47" t="s">
        <v>25</v>
      </c>
      <c r="F293" s="47" t="s">
        <v>320</v>
      </c>
      <c r="G293" s="47">
        <v>2</v>
      </c>
      <c r="H293" s="47"/>
      <c r="I293" s="47"/>
      <c r="J293" s="48" t="s">
        <v>454</v>
      </c>
      <c r="K293" s="48" t="s">
        <v>28</v>
      </c>
      <c r="L293" s="47" t="s">
        <v>17</v>
      </c>
      <c r="M293" s="48" t="s">
        <v>26</v>
      </c>
      <c r="N293" s="453"/>
      <c r="O293" s="265">
        <v>1</v>
      </c>
      <c r="P293" s="266"/>
      <c r="Q293" s="267"/>
      <c r="R293" s="273">
        <f>G293*O293</f>
        <v>2</v>
      </c>
      <c r="S293" s="155"/>
    </row>
    <row r="294" spans="1:19" ht="15.75" customHeight="1" x14ac:dyDescent="0.25">
      <c r="A294" s="434"/>
      <c r="B294" s="433"/>
      <c r="C294" s="48"/>
      <c r="D294" s="47"/>
      <c r="E294" s="47"/>
      <c r="F294" s="47"/>
      <c r="G294" s="47"/>
      <c r="H294" s="331">
        <v>1</v>
      </c>
      <c r="I294" s="331"/>
      <c r="J294" s="363"/>
      <c r="K294" s="363"/>
      <c r="L294" s="331"/>
      <c r="M294" s="363"/>
      <c r="N294" s="455"/>
      <c r="O294" s="265"/>
      <c r="P294" s="266"/>
      <c r="Q294" s="267"/>
      <c r="R294" s="273"/>
      <c r="S294" s="155"/>
    </row>
    <row r="295" spans="1:19" ht="15.75" customHeight="1" x14ac:dyDescent="0.25">
      <c r="A295" s="435"/>
      <c r="B295" s="431" t="s">
        <v>166</v>
      </c>
      <c r="C295" s="48" t="s">
        <v>35</v>
      </c>
      <c r="D295" s="47" t="s">
        <v>36</v>
      </c>
      <c r="E295" s="47" t="s">
        <v>25</v>
      </c>
      <c r="F295" s="47" t="s">
        <v>320</v>
      </c>
      <c r="G295" s="47">
        <v>2</v>
      </c>
      <c r="H295" s="47"/>
      <c r="I295" s="47"/>
      <c r="J295" s="48" t="s">
        <v>465</v>
      </c>
      <c r="K295" s="48" t="s">
        <v>82</v>
      </c>
      <c r="L295" s="47" t="s">
        <v>17</v>
      </c>
      <c r="M295" s="48" t="s">
        <v>26</v>
      </c>
      <c r="N295" s="454"/>
      <c r="O295" s="265">
        <v>1</v>
      </c>
      <c r="P295" s="266"/>
      <c r="Q295" s="267"/>
      <c r="R295" s="273">
        <f>G295*O295</f>
        <v>2</v>
      </c>
      <c r="S295" s="155"/>
    </row>
    <row r="296" spans="1:19" ht="15.75" customHeight="1" x14ac:dyDescent="0.25">
      <c r="A296" s="435"/>
      <c r="B296" s="433"/>
      <c r="C296" s="48"/>
      <c r="D296" s="47"/>
      <c r="E296" s="47"/>
      <c r="F296" s="47"/>
      <c r="G296" s="47"/>
      <c r="H296" s="331">
        <v>1</v>
      </c>
      <c r="I296" s="331"/>
      <c r="J296" s="363"/>
      <c r="K296" s="363"/>
      <c r="L296" s="331"/>
      <c r="M296" s="363"/>
      <c r="N296" s="455"/>
      <c r="O296" s="265"/>
      <c r="P296" s="266"/>
      <c r="Q296" s="267"/>
      <c r="R296" s="273"/>
      <c r="S296" s="155"/>
    </row>
    <row r="297" spans="1:19" ht="15.75" customHeight="1" x14ac:dyDescent="0.25">
      <c r="A297" s="434">
        <v>9</v>
      </c>
      <c r="B297" s="431" t="s">
        <v>167</v>
      </c>
      <c r="C297" s="48" t="s">
        <v>35</v>
      </c>
      <c r="D297" s="47" t="s">
        <v>36</v>
      </c>
      <c r="E297" s="47" t="s">
        <v>25</v>
      </c>
      <c r="F297" s="47" t="s">
        <v>320</v>
      </c>
      <c r="G297" s="47">
        <v>2</v>
      </c>
      <c r="H297" s="47"/>
      <c r="I297" s="47"/>
      <c r="J297" s="251" t="s">
        <v>446</v>
      </c>
      <c r="K297" s="397" t="s">
        <v>564</v>
      </c>
      <c r="L297" s="331" t="s">
        <v>17</v>
      </c>
      <c r="M297" s="363" t="s">
        <v>26</v>
      </c>
      <c r="N297" s="453"/>
      <c r="O297" s="265">
        <v>1</v>
      </c>
      <c r="P297" s="266"/>
      <c r="Q297" s="267"/>
      <c r="R297" s="273">
        <f>G297*O297</f>
        <v>2</v>
      </c>
      <c r="S297" s="155"/>
    </row>
    <row r="298" spans="1:19" ht="15.75" customHeight="1" x14ac:dyDescent="0.25">
      <c r="A298" s="434"/>
      <c r="B298" s="433"/>
      <c r="C298" s="48"/>
      <c r="D298" s="47"/>
      <c r="E298" s="47"/>
      <c r="F298" s="47"/>
      <c r="G298" s="47"/>
      <c r="H298" s="331">
        <v>1</v>
      </c>
      <c r="I298" s="331"/>
      <c r="J298" s="363"/>
      <c r="K298" s="363"/>
      <c r="L298" s="331"/>
      <c r="M298" s="363"/>
      <c r="N298" s="455"/>
      <c r="O298" s="265"/>
      <c r="P298" s="266"/>
      <c r="Q298" s="267"/>
      <c r="R298" s="273"/>
      <c r="S298" s="155"/>
    </row>
    <row r="299" spans="1:19" ht="15.75" customHeight="1" x14ac:dyDescent="0.25">
      <c r="A299" s="435"/>
      <c r="B299" s="437" t="s">
        <v>304</v>
      </c>
      <c r="C299" s="363" t="s">
        <v>35</v>
      </c>
      <c r="D299" s="331" t="s">
        <v>36</v>
      </c>
      <c r="E299" s="331" t="s">
        <v>25</v>
      </c>
      <c r="F299" s="331" t="s">
        <v>320</v>
      </c>
      <c r="G299" s="331">
        <v>2</v>
      </c>
      <c r="H299" s="331"/>
      <c r="I299" s="331"/>
      <c r="J299" s="133" t="s">
        <v>450</v>
      </c>
      <c r="K299" s="48" t="s">
        <v>564</v>
      </c>
      <c r="L299" s="47" t="s">
        <v>17</v>
      </c>
      <c r="M299" s="359" t="s">
        <v>26</v>
      </c>
      <c r="N299" s="470"/>
      <c r="O299" s="265">
        <v>0</v>
      </c>
      <c r="P299" s="266"/>
      <c r="Q299" s="267"/>
      <c r="R299" s="273">
        <f>G299*O299</f>
        <v>0</v>
      </c>
      <c r="S299" s="155"/>
    </row>
    <row r="300" spans="1:19" ht="15.75" customHeight="1" x14ac:dyDescent="0.25">
      <c r="A300" s="435"/>
      <c r="B300" s="433"/>
      <c r="C300" s="48"/>
      <c r="D300" s="47"/>
      <c r="E300" s="47"/>
      <c r="F300" s="47"/>
      <c r="G300" s="47"/>
      <c r="H300" s="331">
        <v>1</v>
      </c>
      <c r="I300" s="331"/>
      <c r="J300" s="363"/>
      <c r="K300" s="363"/>
      <c r="L300" s="331"/>
      <c r="M300" s="363"/>
      <c r="N300" s="455"/>
      <c r="O300" s="357"/>
      <c r="P300" s="362"/>
      <c r="Q300" s="61"/>
      <c r="R300" s="270"/>
      <c r="S300" s="155"/>
    </row>
    <row r="301" spans="1:19" x14ac:dyDescent="0.25">
      <c r="A301" s="246"/>
      <c r="B301" s="279"/>
      <c r="C301" s="279"/>
      <c r="D301" s="280"/>
      <c r="E301" s="280"/>
      <c r="F301" s="280"/>
      <c r="G301" s="280">
        <f>SUM(G263:G299)</f>
        <v>31</v>
      </c>
      <c r="H301" s="280">
        <f>SUM(H263:H299)</f>
        <v>18</v>
      </c>
      <c r="I301" s="280"/>
      <c r="J301" s="279"/>
      <c r="K301" s="279"/>
      <c r="L301" s="280"/>
      <c r="M301" s="280"/>
      <c r="N301" s="155"/>
      <c r="O301" s="281"/>
      <c r="P301" s="155"/>
      <c r="Q301" s="155"/>
      <c r="R301" s="270"/>
      <c r="S301" s="155"/>
    </row>
    <row r="302" spans="1:19" x14ac:dyDescent="0.25">
      <c r="A302" s="28"/>
      <c r="B302" s="29"/>
      <c r="C302" s="29"/>
      <c r="D302" s="20"/>
      <c r="E302" s="20"/>
      <c r="F302" s="20"/>
      <c r="G302" s="20"/>
      <c r="H302" s="20"/>
      <c r="I302" s="20"/>
      <c r="J302" s="29"/>
      <c r="K302" s="29"/>
      <c r="L302" s="20"/>
      <c r="M302" s="20"/>
      <c r="O302" s="159"/>
      <c r="R302" s="309"/>
    </row>
    <row r="303" spans="1:19" ht="26.25" customHeight="1" x14ac:dyDescent="0.25">
      <c r="A303" s="2"/>
      <c r="B303" s="324" t="s">
        <v>327</v>
      </c>
      <c r="C303" s="325"/>
      <c r="D303" s="326"/>
      <c r="E303" s="326"/>
      <c r="F303" s="326"/>
      <c r="G303" s="327"/>
      <c r="H303" s="326"/>
      <c r="I303" s="326"/>
      <c r="J303" s="328"/>
      <c r="K303" s="328"/>
      <c r="L303" s="2"/>
      <c r="M303" s="5"/>
      <c r="N303" s="58"/>
      <c r="O303" s="1"/>
      <c r="P303" s="1"/>
      <c r="R303" s="1"/>
    </row>
    <row r="304" spans="1:19" ht="21" x14ac:dyDescent="0.25">
      <c r="A304" s="2"/>
      <c r="B304" s="51"/>
      <c r="C304" s="52"/>
      <c r="D304" s="2"/>
      <c r="E304" s="2"/>
      <c r="F304" s="2"/>
      <c r="G304" s="50"/>
      <c r="H304" s="2"/>
      <c r="I304" s="2"/>
      <c r="J304" s="5"/>
      <c r="K304" s="5"/>
      <c r="L304" s="2"/>
      <c r="M304" s="5"/>
      <c r="N304" s="58"/>
      <c r="O304" s="1"/>
      <c r="P304" s="1"/>
      <c r="R304" s="1"/>
    </row>
    <row r="305" spans="1:19" ht="21" x14ac:dyDescent="0.25">
      <c r="A305" s="2"/>
      <c r="B305" s="315" t="s">
        <v>0</v>
      </c>
      <c r="C305" s="52"/>
      <c r="D305" s="2"/>
      <c r="E305" s="2"/>
      <c r="F305" s="2"/>
      <c r="G305" s="50"/>
      <c r="H305" s="2"/>
      <c r="I305" s="2"/>
      <c r="J305" s="5"/>
      <c r="K305" s="5"/>
      <c r="L305" s="2"/>
      <c r="M305" s="5"/>
      <c r="N305" s="58"/>
      <c r="O305" s="1"/>
      <c r="P305" s="1"/>
      <c r="R305" s="1"/>
    </row>
    <row r="306" spans="1:19" ht="21" x14ac:dyDescent="0.25">
      <c r="A306" s="2"/>
      <c r="B306" s="315"/>
      <c r="C306" s="52"/>
      <c r="D306" s="2"/>
      <c r="E306" s="2"/>
      <c r="F306" s="2"/>
      <c r="G306" s="50"/>
      <c r="H306" s="2"/>
      <c r="I306" s="2"/>
      <c r="J306" s="5"/>
      <c r="K306" s="5"/>
      <c r="L306" s="2"/>
      <c r="M306" s="5"/>
      <c r="N306" s="58"/>
      <c r="O306" s="1"/>
      <c r="P306" s="1"/>
      <c r="R306" s="1"/>
    </row>
    <row r="307" spans="1:19" ht="26.25" customHeight="1" thickBot="1" x14ac:dyDescent="0.3">
      <c r="A307" s="9" t="s">
        <v>1</v>
      </c>
      <c r="B307" s="440" t="s">
        <v>2</v>
      </c>
      <c r="C307" s="372" t="s">
        <v>3</v>
      </c>
      <c r="D307" s="375" t="s">
        <v>4</v>
      </c>
      <c r="E307" s="10" t="s">
        <v>5</v>
      </c>
      <c r="F307" s="10" t="s">
        <v>6</v>
      </c>
      <c r="G307" s="11"/>
      <c r="H307" s="12" t="s">
        <v>7</v>
      </c>
      <c r="I307" s="13"/>
      <c r="J307" s="498" t="s">
        <v>8</v>
      </c>
      <c r="K307" s="14" t="s">
        <v>9</v>
      </c>
      <c r="L307" s="10" t="s">
        <v>10</v>
      </c>
      <c r="M307" s="369" t="s">
        <v>11</v>
      </c>
      <c r="N307" s="59" t="s">
        <v>12</v>
      </c>
      <c r="O307" s="63"/>
      <c r="P307" s="63" t="s">
        <v>13</v>
      </c>
      <c r="Q307" s="63"/>
      <c r="R307" s="488" t="s">
        <v>201</v>
      </c>
      <c r="S307" s="489"/>
    </row>
    <row r="308" spans="1:19" ht="26.25" customHeight="1" x14ac:dyDescent="0.25">
      <c r="A308" s="181" t="s">
        <v>14</v>
      </c>
      <c r="B308" s="440"/>
      <c r="C308" s="182"/>
      <c r="D308" s="183"/>
      <c r="E308" s="181" t="s">
        <v>15</v>
      </c>
      <c r="F308" s="181" t="s">
        <v>16</v>
      </c>
      <c r="G308" s="190" t="s">
        <v>17</v>
      </c>
      <c r="H308" s="190" t="s">
        <v>18</v>
      </c>
      <c r="I308" s="190" t="s">
        <v>19</v>
      </c>
      <c r="J308" s="499"/>
      <c r="K308" s="184"/>
      <c r="L308" s="185"/>
      <c r="M308" s="374" t="s">
        <v>20</v>
      </c>
      <c r="N308" s="186" t="s">
        <v>21</v>
      </c>
      <c r="O308" s="181" t="s">
        <v>17</v>
      </c>
      <c r="P308" s="181" t="s">
        <v>18</v>
      </c>
      <c r="Q308" s="181" t="s">
        <v>19</v>
      </c>
      <c r="R308" s="181" t="s">
        <v>17</v>
      </c>
      <c r="S308" s="181" t="s">
        <v>18</v>
      </c>
    </row>
    <row r="309" spans="1:19" ht="26.25" customHeight="1" x14ac:dyDescent="0.25">
      <c r="A309" s="446">
        <v>1</v>
      </c>
      <c r="B309" s="48" t="s">
        <v>333</v>
      </c>
      <c r="C309" s="48" t="s">
        <v>23</v>
      </c>
      <c r="D309" s="47" t="s">
        <v>24</v>
      </c>
      <c r="E309" s="47" t="s">
        <v>25</v>
      </c>
      <c r="F309" s="47" t="s">
        <v>319</v>
      </c>
      <c r="G309" s="332">
        <v>3</v>
      </c>
      <c r="H309" s="288"/>
      <c r="I309" s="288"/>
      <c r="J309" s="55" t="s">
        <v>466</v>
      </c>
      <c r="K309" s="48" t="s">
        <v>564</v>
      </c>
      <c r="L309" s="47" t="s">
        <v>17</v>
      </c>
      <c r="M309" s="48" t="s">
        <v>26</v>
      </c>
      <c r="N309" s="467"/>
      <c r="O309" s="265">
        <v>1</v>
      </c>
      <c r="P309" s="267"/>
      <c r="Q309" s="267"/>
      <c r="R309" s="273">
        <f>G309*O309</f>
        <v>3</v>
      </c>
      <c r="S309" s="287"/>
    </row>
    <row r="310" spans="1:19" ht="26.25" customHeight="1" x14ac:dyDescent="0.25">
      <c r="A310" s="448"/>
      <c r="B310" s="360"/>
      <c r="C310" s="360"/>
      <c r="D310" s="329"/>
      <c r="E310" s="329"/>
      <c r="F310" s="329"/>
      <c r="G310" s="330"/>
      <c r="H310" s="293">
        <v>2</v>
      </c>
      <c r="I310" s="288"/>
      <c r="J310" s="363"/>
      <c r="K310" s="363"/>
      <c r="L310" s="331"/>
      <c r="M310" s="363"/>
      <c r="N310" s="468"/>
      <c r="O310" s="265">
        <v>1</v>
      </c>
      <c r="P310" s="267"/>
      <c r="Q310" s="267"/>
      <c r="R310" s="273">
        <f>G310*O310</f>
        <v>0</v>
      </c>
      <c r="S310" s="287"/>
    </row>
    <row r="311" spans="1:19" s="61" customFormat="1" ht="15.75" customHeight="1" x14ac:dyDescent="0.25">
      <c r="A311" s="434">
        <v>2</v>
      </c>
      <c r="B311" s="438" t="s">
        <v>155</v>
      </c>
      <c r="C311" s="441" t="s">
        <v>35</v>
      </c>
      <c r="D311" s="434" t="s">
        <v>24</v>
      </c>
      <c r="E311" s="434" t="s">
        <v>25</v>
      </c>
      <c r="F311" s="434" t="s">
        <v>321</v>
      </c>
      <c r="G311" s="332">
        <v>1</v>
      </c>
      <c r="H311" s="288"/>
      <c r="I311" s="288"/>
      <c r="J311" s="48" t="s">
        <v>454</v>
      </c>
      <c r="K311" s="48" t="s">
        <v>28</v>
      </c>
      <c r="L311" s="47" t="s">
        <v>17</v>
      </c>
      <c r="M311" s="48" t="s">
        <v>26</v>
      </c>
      <c r="N311" s="467"/>
      <c r="O311" s="166">
        <v>1</v>
      </c>
      <c r="P311" s="136"/>
      <c r="Q311" s="136"/>
      <c r="R311" s="273">
        <f>G311*O311</f>
        <v>1</v>
      </c>
      <c r="S311" s="155"/>
    </row>
    <row r="312" spans="1:19" s="61" customFormat="1" x14ac:dyDescent="0.25">
      <c r="A312" s="435"/>
      <c r="B312" s="439"/>
      <c r="C312" s="442"/>
      <c r="D312" s="435"/>
      <c r="E312" s="435"/>
      <c r="F312" s="435"/>
      <c r="G312" s="373">
        <v>1</v>
      </c>
      <c r="H312" s="292"/>
      <c r="I312" s="288"/>
      <c r="J312" s="48" t="s">
        <v>461</v>
      </c>
      <c r="K312" s="48" t="s">
        <v>82</v>
      </c>
      <c r="L312" s="47" t="s">
        <v>17</v>
      </c>
      <c r="M312" s="48" t="s">
        <v>26</v>
      </c>
      <c r="N312" s="468"/>
      <c r="O312" s="166">
        <v>1</v>
      </c>
      <c r="P312" s="136"/>
      <c r="Q312" s="136"/>
      <c r="R312" s="273">
        <f>G312*O312</f>
        <v>1</v>
      </c>
      <c r="S312" s="155"/>
    </row>
    <row r="313" spans="1:19" s="61" customFormat="1" ht="15.75" customHeight="1" x14ac:dyDescent="0.25">
      <c r="A313" s="435"/>
      <c r="B313" s="439"/>
      <c r="C313" s="442"/>
      <c r="D313" s="435"/>
      <c r="E313" s="435"/>
      <c r="F313" s="435"/>
      <c r="G313" s="288"/>
      <c r="H313" s="293">
        <v>2</v>
      </c>
      <c r="I313" s="334"/>
      <c r="J313" s="363"/>
      <c r="K313" s="363"/>
      <c r="L313" s="331"/>
      <c r="M313" s="363"/>
      <c r="N313" s="469"/>
      <c r="O313" s="166"/>
      <c r="P313" s="136"/>
      <c r="Q313" s="136"/>
      <c r="R313" s="274"/>
      <c r="S313" s="155"/>
    </row>
    <row r="314" spans="1:19" ht="26.25" customHeight="1" x14ac:dyDescent="0.25">
      <c r="A314" s="446">
        <v>3</v>
      </c>
      <c r="B314" s="397" t="s">
        <v>578</v>
      </c>
      <c r="C314" s="397" t="s">
        <v>23</v>
      </c>
      <c r="D314" s="391" t="s">
        <v>24</v>
      </c>
      <c r="E314" s="391" t="s">
        <v>25</v>
      </c>
      <c r="F314" s="391" t="s">
        <v>319</v>
      </c>
      <c r="G314" s="332">
        <v>2</v>
      </c>
      <c r="H314" s="406"/>
      <c r="I314" s="406"/>
      <c r="J314" s="55" t="s">
        <v>449</v>
      </c>
      <c r="K314" s="397" t="s">
        <v>564</v>
      </c>
      <c r="L314" s="391" t="s">
        <v>17</v>
      </c>
      <c r="M314" s="397" t="s">
        <v>26</v>
      </c>
      <c r="N314" s="467"/>
      <c r="O314" s="265">
        <v>1</v>
      </c>
      <c r="P314" s="267"/>
      <c r="Q314" s="267"/>
      <c r="R314" s="273">
        <f>G314*O314</f>
        <v>2</v>
      </c>
      <c r="S314" s="287"/>
    </row>
    <row r="315" spans="1:19" ht="26.25" customHeight="1" x14ac:dyDescent="0.25">
      <c r="A315" s="448"/>
      <c r="B315" s="400"/>
      <c r="C315" s="400"/>
      <c r="D315" s="403"/>
      <c r="E315" s="403"/>
      <c r="F315" s="403"/>
      <c r="G315" s="405"/>
      <c r="H315" s="293">
        <v>1</v>
      </c>
      <c r="I315" s="406"/>
      <c r="J315" s="402"/>
      <c r="K315" s="402"/>
      <c r="L315" s="331"/>
      <c r="M315" s="402"/>
      <c r="N315" s="468"/>
      <c r="O315" s="265">
        <v>1</v>
      </c>
      <c r="P315" s="267"/>
      <c r="Q315" s="267"/>
      <c r="R315" s="273">
        <f>G315*O315</f>
        <v>0</v>
      </c>
      <c r="S315" s="287"/>
    </row>
    <row r="316" spans="1:19" s="61" customFormat="1" x14ac:dyDescent="0.25">
      <c r="A316" s="452">
        <v>4</v>
      </c>
      <c r="B316" s="438" t="s">
        <v>334</v>
      </c>
      <c r="C316" s="441" t="s">
        <v>35</v>
      </c>
      <c r="D316" s="434" t="s">
        <v>24</v>
      </c>
      <c r="E316" s="434" t="s">
        <v>25</v>
      </c>
      <c r="F316" s="434" t="s">
        <v>320</v>
      </c>
      <c r="G316" s="332">
        <v>1</v>
      </c>
      <c r="H316" s="288"/>
      <c r="I316" s="288"/>
      <c r="J316" s="363" t="s">
        <v>481</v>
      </c>
      <c r="K316" s="363" t="s">
        <v>28</v>
      </c>
      <c r="L316" s="331" t="s">
        <v>37</v>
      </c>
      <c r="M316" s="363" t="s">
        <v>514</v>
      </c>
      <c r="N316" s="453"/>
      <c r="O316" s="166">
        <v>1</v>
      </c>
      <c r="P316" s="136"/>
      <c r="Q316" s="136"/>
      <c r="R316" s="273">
        <f>G316*O316</f>
        <v>1</v>
      </c>
      <c r="S316" s="155"/>
    </row>
    <row r="317" spans="1:19" s="61" customFormat="1" ht="15.75" customHeight="1" x14ac:dyDescent="0.25">
      <c r="A317" s="447"/>
      <c r="B317" s="439"/>
      <c r="C317" s="442"/>
      <c r="D317" s="435"/>
      <c r="E317" s="435"/>
      <c r="F317" s="435"/>
      <c r="G317" s="373">
        <v>1</v>
      </c>
      <c r="H317" s="292"/>
      <c r="I317" s="288"/>
      <c r="J317" s="48" t="s">
        <v>458</v>
      </c>
      <c r="K317" s="48" t="s">
        <v>82</v>
      </c>
      <c r="L317" s="47" t="s">
        <v>17</v>
      </c>
      <c r="M317" s="48" t="s">
        <v>26</v>
      </c>
      <c r="N317" s="454"/>
      <c r="O317" s="166">
        <v>1</v>
      </c>
      <c r="P317" s="136"/>
      <c r="Q317" s="136"/>
      <c r="R317" s="273">
        <f>G317*O317</f>
        <v>1</v>
      </c>
      <c r="S317" s="155"/>
    </row>
    <row r="318" spans="1:19" s="61" customFormat="1" ht="15.75" customHeight="1" x14ac:dyDescent="0.25">
      <c r="A318" s="447"/>
      <c r="B318" s="439"/>
      <c r="C318" s="442"/>
      <c r="D318" s="435"/>
      <c r="E318" s="435"/>
      <c r="F318" s="435"/>
      <c r="G318" s="288"/>
      <c r="H318" s="293">
        <v>1</v>
      </c>
      <c r="I318" s="334"/>
      <c r="J318" s="363"/>
      <c r="K318" s="363"/>
      <c r="L318" s="331"/>
      <c r="M318" s="363"/>
      <c r="N318" s="455"/>
      <c r="O318" s="166"/>
      <c r="P318" s="136"/>
      <c r="Q318" s="136"/>
      <c r="R318" s="274"/>
      <c r="S318" s="155"/>
    </row>
    <row r="319" spans="1:19" s="61" customFormat="1" ht="14.45" customHeight="1" x14ac:dyDescent="0.25">
      <c r="A319" s="447"/>
      <c r="B319" s="431" t="s">
        <v>335</v>
      </c>
      <c r="C319" s="457" t="s">
        <v>340</v>
      </c>
      <c r="D319" s="457" t="s">
        <v>339</v>
      </c>
      <c r="E319" s="457" t="s">
        <v>337</v>
      </c>
      <c r="F319" s="457" t="s">
        <v>338</v>
      </c>
      <c r="G319" s="288">
        <v>2</v>
      </c>
      <c r="H319" s="334"/>
      <c r="I319" s="334"/>
      <c r="J319" s="55" t="s">
        <v>451</v>
      </c>
      <c r="K319" s="298" t="s">
        <v>28</v>
      </c>
      <c r="L319" s="73" t="s">
        <v>17</v>
      </c>
      <c r="M319" s="55" t="s">
        <v>26</v>
      </c>
      <c r="N319" s="453"/>
      <c r="O319" s="265">
        <v>1</v>
      </c>
      <c r="P319" s="266"/>
      <c r="Q319" s="267"/>
      <c r="R319" s="273">
        <v>0</v>
      </c>
      <c r="S319" s="287"/>
    </row>
    <row r="320" spans="1:19" s="61" customFormat="1" ht="15.75" customHeight="1" x14ac:dyDescent="0.25">
      <c r="A320" s="447"/>
      <c r="B320" s="433"/>
      <c r="C320" s="458"/>
      <c r="D320" s="458"/>
      <c r="E320" s="458"/>
      <c r="F320" s="457"/>
      <c r="G320" s="288"/>
      <c r="H320" s="334">
        <v>1</v>
      </c>
      <c r="I320" s="334"/>
      <c r="J320" s="363"/>
      <c r="K320" s="363"/>
      <c r="L320" s="331"/>
      <c r="M320" s="363"/>
      <c r="N320" s="455"/>
      <c r="O320" s="265"/>
      <c r="P320" s="266"/>
      <c r="Q320" s="267"/>
      <c r="R320" s="273"/>
      <c r="S320" s="287"/>
    </row>
    <row r="321" spans="1:19" s="413" customFormat="1" ht="27" customHeight="1" x14ac:dyDescent="0.25">
      <c r="A321" s="447"/>
      <c r="B321" s="438" t="s">
        <v>336</v>
      </c>
      <c r="C321" s="441" t="s">
        <v>35</v>
      </c>
      <c r="D321" s="434" t="s">
        <v>24</v>
      </c>
      <c r="E321" s="434" t="s">
        <v>25</v>
      </c>
      <c r="F321" s="434" t="s">
        <v>320</v>
      </c>
      <c r="G321" s="332">
        <v>1</v>
      </c>
      <c r="H321" s="406"/>
      <c r="I321" s="406"/>
      <c r="J321" s="414" t="s">
        <v>410</v>
      </c>
      <c r="K321" s="414" t="s">
        <v>43</v>
      </c>
      <c r="L321" s="331" t="s">
        <v>17</v>
      </c>
      <c r="M321" s="414" t="s">
        <v>26</v>
      </c>
      <c r="N321" s="453"/>
      <c r="O321" s="166">
        <v>1</v>
      </c>
      <c r="P321" s="136"/>
      <c r="Q321" s="136"/>
      <c r="R321" s="273">
        <f>G321*O321</f>
        <v>1</v>
      </c>
      <c r="S321" s="155"/>
    </row>
    <row r="322" spans="1:19" s="413" customFormat="1" ht="15.75" customHeight="1" x14ac:dyDescent="0.25">
      <c r="A322" s="447"/>
      <c r="B322" s="439"/>
      <c r="C322" s="442"/>
      <c r="D322" s="435"/>
      <c r="E322" s="435"/>
      <c r="F322" s="435"/>
      <c r="G322" s="409">
        <v>1</v>
      </c>
      <c r="H322" s="407"/>
      <c r="I322" s="406"/>
      <c r="J322" s="414" t="s">
        <v>459</v>
      </c>
      <c r="K322" s="412" t="s">
        <v>82</v>
      </c>
      <c r="L322" s="331" t="s">
        <v>17</v>
      </c>
      <c r="M322" s="414" t="s">
        <v>26</v>
      </c>
      <c r="N322" s="454"/>
      <c r="O322" s="166">
        <v>1</v>
      </c>
      <c r="P322" s="136"/>
      <c r="Q322" s="136"/>
      <c r="R322" s="273">
        <f>G322*O322</f>
        <v>1</v>
      </c>
      <c r="S322" s="155"/>
    </row>
    <row r="323" spans="1:19" s="413" customFormat="1" ht="15.75" customHeight="1" x14ac:dyDescent="0.25">
      <c r="A323" s="447"/>
      <c r="B323" s="439"/>
      <c r="C323" s="442"/>
      <c r="D323" s="435"/>
      <c r="E323" s="435"/>
      <c r="F323" s="435"/>
      <c r="G323" s="406"/>
      <c r="H323" s="293">
        <v>1</v>
      </c>
      <c r="I323" s="334"/>
      <c r="J323" s="414"/>
      <c r="K323" s="414"/>
      <c r="L323" s="331"/>
      <c r="M323" s="414"/>
      <c r="N323" s="455"/>
      <c r="O323" s="166"/>
      <c r="P323" s="136"/>
      <c r="Q323" s="136"/>
      <c r="R323" s="274"/>
      <c r="S323" s="155"/>
    </row>
    <row r="324" spans="1:19" s="61" customFormat="1" ht="15.75" customHeight="1" x14ac:dyDescent="0.25">
      <c r="A324" s="446">
        <v>5</v>
      </c>
      <c r="B324" s="431" t="s">
        <v>341</v>
      </c>
      <c r="C324" s="438" t="s">
        <v>288</v>
      </c>
      <c r="D324" s="457" t="s">
        <v>24</v>
      </c>
      <c r="E324" s="457" t="s">
        <v>25</v>
      </c>
      <c r="F324" s="457" t="s">
        <v>320</v>
      </c>
      <c r="G324" s="332">
        <v>1</v>
      </c>
      <c r="H324" s="288"/>
      <c r="I324" s="288"/>
      <c r="J324" s="48" t="s">
        <v>455</v>
      </c>
      <c r="K324" s="48" t="s">
        <v>28</v>
      </c>
      <c r="L324" s="47" t="s">
        <v>17</v>
      </c>
      <c r="M324" s="48" t="s">
        <v>26</v>
      </c>
      <c r="N324" s="453"/>
      <c r="O324" s="265">
        <v>1</v>
      </c>
      <c r="P324" s="266"/>
      <c r="Q324" s="267"/>
      <c r="R324" s="273">
        <v>1</v>
      </c>
      <c r="S324" s="155"/>
    </row>
    <row r="325" spans="1:19" s="61" customFormat="1" x14ac:dyDescent="0.25">
      <c r="A325" s="447"/>
      <c r="B325" s="432"/>
      <c r="C325" s="439"/>
      <c r="D325" s="458"/>
      <c r="E325" s="458"/>
      <c r="F325" s="458"/>
      <c r="G325" s="248">
        <v>1</v>
      </c>
      <c r="H325" s="292"/>
      <c r="I325" s="288"/>
      <c r="J325" s="55" t="s">
        <v>466</v>
      </c>
      <c r="K325" s="48" t="s">
        <v>564</v>
      </c>
      <c r="L325" s="47" t="s">
        <v>17</v>
      </c>
      <c r="M325" s="48" t="s">
        <v>26</v>
      </c>
      <c r="N325" s="454"/>
      <c r="O325" s="265">
        <v>1</v>
      </c>
      <c r="P325" s="266"/>
      <c r="Q325" s="267"/>
      <c r="R325" s="273">
        <v>1</v>
      </c>
      <c r="S325" s="155"/>
    </row>
    <row r="326" spans="1:19" s="61" customFormat="1" ht="15.75" customHeight="1" x14ac:dyDescent="0.25">
      <c r="A326" s="447"/>
      <c r="B326" s="433"/>
      <c r="C326" s="192"/>
      <c r="D326" s="191"/>
      <c r="E326" s="191"/>
      <c r="F326" s="191"/>
      <c r="G326" s="288"/>
      <c r="H326" s="293">
        <v>1</v>
      </c>
      <c r="I326" s="334"/>
      <c r="J326" s="363"/>
      <c r="K326" s="363"/>
      <c r="L326" s="331"/>
      <c r="M326" s="363"/>
      <c r="N326" s="455"/>
      <c r="O326" s="265"/>
      <c r="P326" s="266"/>
      <c r="Q326" s="267"/>
      <c r="R326" s="273"/>
      <c r="S326" s="155"/>
    </row>
    <row r="327" spans="1:19" s="61" customFormat="1" ht="15.75" customHeight="1" x14ac:dyDescent="0.25">
      <c r="A327" s="447"/>
      <c r="B327" s="431" t="s">
        <v>342</v>
      </c>
      <c r="C327" s="434" t="s">
        <v>68</v>
      </c>
      <c r="D327" s="434" t="s">
        <v>24</v>
      </c>
      <c r="E327" s="434" t="s">
        <v>25</v>
      </c>
      <c r="F327" s="434" t="s">
        <v>320</v>
      </c>
      <c r="G327" s="288">
        <v>1</v>
      </c>
      <c r="H327" s="288"/>
      <c r="I327" s="288"/>
      <c r="J327" s="251" t="s">
        <v>469</v>
      </c>
      <c r="K327" s="365" t="s">
        <v>28</v>
      </c>
      <c r="L327" s="73" t="s">
        <v>17</v>
      </c>
      <c r="M327" s="74" t="s">
        <v>26</v>
      </c>
      <c r="N327" s="470"/>
      <c r="O327" s="362">
        <v>1</v>
      </c>
      <c r="P327" s="362"/>
      <c r="R327" s="223">
        <f>G327*O327</f>
        <v>1</v>
      </c>
      <c r="S327" s="155"/>
    </row>
    <row r="328" spans="1:19" s="61" customFormat="1" ht="25.5" x14ac:dyDescent="0.25">
      <c r="A328" s="447"/>
      <c r="B328" s="432"/>
      <c r="C328" s="435"/>
      <c r="D328" s="435"/>
      <c r="E328" s="435"/>
      <c r="F328" s="435"/>
      <c r="G328" s="288">
        <v>1</v>
      </c>
      <c r="H328" s="288"/>
      <c r="I328" s="288"/>
      <c r="J328" s="365" t="s">
        <v>477</v>
      </c>
      <c r="K328" s="48" t="s">
        <v>82</v>
      </c>
      <c r="L328" s="73" t="s">
        <v>17</v>
      </c>
      <c r="M328" s="74" t="s">
        <v>26</v>
      </c>
      <c r="N328" s="454"/>
      <c r="O328" s="362">
        <v>1</v>
      </c>
      <c r="P328" s="362"/>
      <c r="R328" s="223">
        <f>G328*O328</f>
        <v>1</v>
      </c>
      <c r="S328" s="155"/>
    </row>
    <row r="329" spans="1:19" s="61" customFormat="1" ht="15.75" customHeight="1" x14ac:dyDescent="0.25">
      <c r="A329" s="447"/>
      <c r="B329" s="433"/>
      <c r="C329" s="435"/>
      <c r="D329" s="435"/>
      <c r="E329" s="435"/>
      <c r="F329" s="435"/>
      <c r="G329" s="288"/>
      <c r="H329" s="334">
        <v>1</v>
      </c>
      <c r="I329" s="334"/>
      <c r="J329" s="363"/>
      <c r="K329" s="363"/>
      <c r="L329" s="331"/>
      <c r="M329" s="363"/>
      <c r="N329" s="455"/>
      <c r="O329" s="362"/>
      <c r="P329" s="362"/>
      <c r="R329" s="223"/>
      <c r="S329" s="155"/>
    </row>
    <row r="330" spans="1:19" s="61" customFormat="1" ht="15.75" customHeight="1" x14ac:dyDescent="0.25">
      <c r="A330" s="447"/>
      <c r="B330" s="438" t="s">
        <v>343</v>
      </c>
      <c r="C330" s="441" t="s">
        <v>35</v>
      </c>
      <c r="D330" s="434" t="s">
        <v>24</v>
      </c>
      <c r="E330" s="434" t="s">
        <v>25</v>
      </c>
      <c r="F330" s="434" t="s">
        <v>320</v>
      </c>
      <c r="G330" s="373">
        <v>2</v>
      </c>
      <c r="H330" s="292"/>
      <c r="I330" s="288"/>
      <c r="J330" s="150" t="s">
        <v>563</v>
      </c>
      <c r="K330" s="425" t="s">
        <v>82</v>
      </c>
      <c r="L330" s="331" t="s">
        <v>17</v>
      </c>
      <c r="M330" s="363" t="s">
        <v>26</v>
      </c>
      <c r="N330" s="453"/>
      <c r="O330" s="265">
        <v>1</v>
      </c>
      <c r="P330" s="136"/>
      <c r="Q330" s="136"/>
      <c r="R330" s="273">
        <v>2</v>
      </c>
      <c r="S330" s="155"/>
    </row>
    <row r="331" spans="1:19" s="61" customFormat="1" x14ac:dyDescent="0.25">
      <c r="A331" s="447"/>
      <c r="B331" s="439"/>
      <c r="C331" s="442"/>
      <c r="D331" s="435"/>
      <c r="E331" s="435"/>
      <c r="F331" s="435"/>
      <c r="G331" s="373"/>
      <c r="H331" s="292"/>
      <c r="I331" s="288"/>
      <c r="J331" s="150"/>
      <c r="K331" s="363"/>
      <c r="L331" s="331"/>
      <c r="M331" s="363"/>
      <c r="N331" s="454"/>
      <c r="O331" s="265">
        <v>0</v>
      </c>
      <c r="P331" s="136"/>
      <c r="Q331" s="136"/>
      <c r="R331" s="273">
        <f>G331*O331</f>
        <v>0</v>
      </c>
      <c r="S331" s="155"/>
    </row>
    <row r="332" spans="1:19" s="61" customFormat="1" ht="15.75" customHeight="1" x14ac:dyDescent="0.25">
      <c r="A332" s="448"/>
      <c r="B332" s="439"/>
      <c r="C332" s="442"/>
      <c r="D332" s="435"/>
      <c r="E332" s="435"/>
      <c r="F332" s="435"/>
      <c r="G332" s="288"/>
      <c r="H332" s="293">
        <v>1</v>
      </c>
      <c r="I332" s="334"/>
      <c r="J332" s="363"/>
      <c r="K332" s="363"/>
      <c r="L332" s="331"/>
      <c r="M332" s="363"/>
      <c r="N332" s="455"/>
      <c r="O332" s="166"/>
      <c r="P332" s="136"/>
      <c r="Q332" s="136"/>
      <c r="R332" s="274"/>
      <c r="S332" s="155"/>
    </row>
    <row r="333" spans="1:19" s="61" customFormat="1" x14ac:dyDescent="0.25">
      <c r="A333" s="155"/>
      <c r="B333" s="285"/>
      <c r="C333" s="279"/>
      <c r="D333" s="280"/>
      <c r="E333" s="280"/>
      <c r="F333" s="280"/>
      <c r="G333" s="277" t="e">
        <f>SUM(#REF!)</f>
        <v>#REF!</v>
      </c>
      <c r="H333" s="277" t="e">
        <f>SUM(#REF!)</f>
        <v>#REF!</v>
      </c>
      <c r="I333" s="155"/>
      <c r="J333" s="277"/>
      <c r="K333" s="285"/>
      <c r="L333" s="280"/>
      <c r="M333" s="286"/>
      <c r="N333" s="155"/>
      <c r="O333" s="155"/>
      <c r="P333" s="155"/>
      <c r="Q333" s="155"/>
      <c r="R333" s="270"/>
      <c r="S333" s="155"/>
    </row>
    <row r="334" spans="1:19" x14ac:dyDescent="0.25">
      <c r="B334" s="143"/>
      <c r="C334" s="29"/>
      <c r="D334" s="20"/>
      <c r="E334" s="20"/>
      <c r="F334" s="20"/>
      <c r="G334" s="144"/>
      <c r="H334" s="144"/>
      <c r="J334" s="144"/>
      <c r="K334" s="143"/>
      <c r="L334" s="20"/>
      <c r="M334" s="146"/>
      <c r="R334" s="309"/>
    </row>
    <row r="335" spans="1:19" ht="26.25" customHeight="1" x14ac:dyDescent="0.25">
      <c r="A335" s="6"/>
      <c r="B335" s="322" t="s">
        <v>332</v>
      </c>
      <c r="C335" s="322"/>
      <c r="D335" s="323"/>
      <c r="E335" s="323"/>
      <c r="F335" s="323"/>
      <c r="G335" s="323"/>
      <c r="H335" s="322"/>
      <c r="I335" s="322"/>
      <c r="J335" s="322"/>
      <c r="K335" s="7"/>
      <c r="L335" s="6"/>
      <c r="M335" s="7"/>
      <c r="R335" s="66"/>
    </row>
    <row r="336" spans="1:19" ht="21" x14ac:dyDescent="0.25">
      <c r="A336" s="6"/>
      <c r="B336" s="7"/>
      <c r="C336" s="7"/>
      <c r="D336" s="6"/>
      <c r="E336" s="6"/>
      <c r="F336" s="6"/>
      <c r="G336" s="6"/>
      <c r="H336" s="7"/>
      <c r="I336" s="7"/>
      <c r="J336" s="7"/>
      <c r="K336" s="7"/>
      <c r="L336" s="6"/>
      <c r="M336" s="7"/>
      <c r="R336" s="66"/>
    </row>
    <row r="337" spans="1:19" ht="15.75" x14ac:dyDescent="0.25">
      <c r="A337" s="2"/>
      <c r="B337" s="315" t="s">
        <v>0</v>
      </c>
      <c r="C337" s="5"/>
      <c r="D337" s="2"/>
      <c r="E337" s="2"/>
      <c r="F337" s="2"/>
      <c r="G337" s="2"/>
      <c r="H337" s="2"/>
      <c r="I337" s="2"/>
      <c r="J337" s="5"/>
      <c r="K337" s="5"/>
      <c r="L337" s="2"/>
      <c r="M337" s="2"/>
      <c r="R337" s="66"/>
    </row>
    <row r="338" spans="1:19" ht="15.75" x14ac:dyDescent="0.25">
      <c r="A338" s="2"/>
      <c r="B338" s="315"/>
      <c r="C338" s="5"/>
      <c r="D338" s="2"/>
      <c r="E338" s="2"/>
      <c r="F338" s="2"/>
      <c r="G338" s="2"/>
      <c r="H338" s="2"/>
      <c r="I338" s="2"/>
      <c r="J338" s="5"/>
      <c r="K338" s="5"/>
      <c r="L338" s="2"/>
      <c r="M338" s="2"/>
      <c r="R338" s="66"/>
    </row>
    <row r="339" spans="1:19" ht="26.25" customHeight="1" thickBot="1" x14ac:dyDescent="0.3">
      <c r="A339" s="9" t="s">
        <v>1</v>
      </c>
      <c r="B339" s="440" t="s">
        <v>2</v>
      </c>
      <c r="C339" s="372" t="s">
        <v>3</v>
      </c>
      <c r="D339" s="375" t="s">
        <v>4</v>
      </c>
      <c r="E339" s="10" t="s">
        <v>5</v>
      </c>
      <c r="F339" s="10" t="s">
        <v>6</v>
      </c>
      <c r="G339" s="11"/>
      <c r="H339" s="12" t="s">
        <v>7</v>
      </c>
      <c r="I339" s="13"/>
      <c r="J339" s="498" t="s">
        <v>8</v>
      </c>
      <c r="K339" s="14" t="s">
        <v>9</v>
      </c>
      <c r="L339" s="10" t="s">
        <v>10</v>
      </c>
      <c r="M339" s="369" t="s">
        <v>11</v>
      </c>
      <c r="N339" s="59" t="s">
        <v>12</v>
      </c>
      <c r="O339" s="63"/>
      <c r="P339" s="63" t="s">
        <v>13</v>
      </c>
      <c r="Q339" s="63"/>
      <c r="R339" s="488" t="s">
        <v>201</v>
      </c>
      <c r="S339" s="489"/>
    </row>
    <row r="340" spans="1:19" ht="26.25" customHeight="1" x14ac:dyDescent="0.25">
      <c r="A340" s="181" t="s">
        <v>14</v>
      </c>
      <c r="B340" s="440"/>
      <c r="C340" s="182"/>
      <c r="D340" s="183"/>
      <c r="E340" s="181" t="s">
        <v>15</v>
      </c>
      <c r="F340" s="181" t="s">
        <v>16</v>
      </c>
      <c r="G340" s="190" t="s">
        <v>17</v>
      </c>
      <c r="H340" s="190" t="s">
        <v>18</v>
      </c>
      <c r="I340" s="190" t="s">
        <v>19</v>
      </c>
      <c r="J340" s="499"/>
      <c r="K340" s="184"/>
      <c r="L340" s="185"/>
      <c r="M340" s="374" t="s">
        <v>20</v>
      </c>
      <c r="N340" s="186" t="s">
        <v>21</v>
      </c>
      <c r="O340" s="181" t="s">
        <v>17</v>
      </c>
      <c r="P340" s="181" t="s">
        <v>18</v>
      </c>
      <c r="Q340" s="181" t="s">
        <v>19</v>
      </c>
      <c r="R340" s="181" t="s">
        <v>17</v>
      </c>
      <c r="S340" s="181" t="s">
        <v>18</v>
      </c>
    </row>
    <row r="341" spans="1:19" ht="26.25" customHeight="1" x14ac:dyDescent="0.25">
      <c r="A341" s="446">
        <v>1</v>
      </c>
      <c r="B341" s="431" t="s">
        <v>287</v>
      </c>
      <c r="C341" s="438" t="s">
        <v>288</v>
      </c>
      <c r="D341" s="457" t="s">
        <v>24</v>
      </c>
      <c r="E341" s="457" t="s">
        <v>25</v>
      </c>
      <c r="F341" s="446" t="s">
        <v>319</v>
      </c>
      <c r="G341" s="546">
        <v>2</v>
      </c>
      <c r="H341" s="288"/>
      <c r="I341" s="47"/>
      <c r="J341" s="55" t="s">
        <v>466</v>
      </c>
      <c r="K341" s="48" t="s">
        <v>564</v>
      </c>
      <c r="L341" s="47" t="s">
        <v>17</v>
      </c>
      <c r="M341" s="48" t="s">
        <v>26</v>
      </c>
      <c r="N341" s="451"/>
      <c r="O341" s="265">
        <v>0</v>
      </c>
      <c r="P341" s="267"/>
      <c r="Q341" s="267"/>
      <c r="R341" s="273">
        <f>G341*O341</f>
        <v>0</v>
      </c>
      <c r="S341" s="155"/>
    </row>
    <row r="342" spans="1:19" ht="26.25" customHeight="1" x14ac:dyDescent="0.25">
      <c r="A342" s="447"/>
      <c r="B342" s="432"/>
      <c r="C342" s="439"/>
      <c r="D342" s="458"/>
      <c r="E342" s="458"/>
      <c r="F342" s="448"/>
      <c r="G342" s="547"/>
      <c r="H342" s="292"/>
      <c r="I342" s="47"/>
      <c r="J342" s="363"/>
      <c r="K342" s="363"/>
      <c r="L342" s="331"/>
      <c r="M342" s="48"/>
      <c r="N342" s="451"/>
      <c r="O342" s="265">
        <v>0</v>
      </c>
      <c r="P342" s="267"/>
      <c r="Q342" s="267"/>
      <c r="R342" s="273">
        <f>G342*O342</f>
        <v>0</v>
      </c>
      <c r="S342" s="155"/>
    </row>
    <row r="343" spans="1:19" ht="26.25" customHeight="1" x14ac:dyDescent="0.25">
      <c r="A343" s="448"/>
      <c r="B343" s="433"/>
      <c r="C343" s="192"/>
      <c r="D343" s="191"/>
      <c r="E343" s="191"/>
      <c r="F343" s="191"/>
      <c r="G343" s="288"/>
      <c r="H343" s="293">
        <v>2</v>
      </c>
      <c r="I343" s="331"/>
      <c r="J343" s="363"/>
      <c r="K343" s="363"/>
      <c r="L343" s="331"/>
      <c r="M343" s="363"/>
      <c r="N343" s="357"/>
      <c r="O343" s="265"/>
      <c r="P343" s="267"/>
      <c r="Q343" s="267"/>
      <c r="R343" s="273"/>
      <c r="S343" s="155"/>
    </row>
    <row r="344" spans="1:19" s="61" customFormat="1" ht="15.75" customHeight="1" x14ac:dyDescent="0.25">
      <c r="A344" s="434">
        <v>2</v>
      </c>
      <c r="B344" s="431" t="s">
        <v>289</v>
      </c>
      <c r="C344" s="48" t="s">
        <v>288</v>
      </c>
      <c r="D344" s="47" t="s">
        <v>24</v>
      </c>
      <c r="E344" s="47" t="s">
        <v>25</v>
      </c>
      <c r="F344" s="47" t="s">
        <v>319</v>
      </c>
      <c r="G344" s="288">
        <v>2</v>
      </c>
      <c r="H344" s="288"/>
      <c r="I344" s="47"/>
      <c r="J344" s="48" t="s">
        <v>453</v>
      </c>
      <c r="K344" s="359" t="s">
        <v>28</v>
      </c>
      <c r="L344" s="47" t="s">
        <v>17</v>
      </c>
      <c r="M344" s="48" t="s">
        <v>26</v>
      </c>
      <c r="N344" s="362"/>
      <c r="O344" s="265">
        <v>0</v>
      </c>
      <c r="P344" s="266"/>
      <c r="Q344" s="267"/>
      <c r="R344" s="273">
        <f>G344*O344</f>
        <v>0</v>
      </c>
      <c r="S344" s="155"/>
    </row>
    <row r="345" spans="1:19" s="61" customFormat="1" x14ac:dyDescent="0.25">
      <c r="A345" s="435"/>
      <c r="B345" s="433"/>
      <c r="C345" s="48"/>
      <c r="D345" s="47"/>
      <c r="E345" s="47"/>
      <c r="F345" s="47"/>
      <c r="G345" s="288"/>
      <c r="H345" s="334">
        <v>2</v>
      </c>
      <c r="I345" s="331"/>
      <c r="J345" s="363"/>
      <c r="K345" s="363"/>
      <c r="L345" s="331"/>
      <c r="M345" s="363"/>
      <c r="N345" s="362"/>
      <c r="O345" s="265"/>
      <c r="P345" s="266"/>
      <c r="Q345" s="267"/>
      <c r="R345" s="273"/>
      <c r="S345" s="155"/>
    </row>
    <row r="346" spans="1:19" s="61" customFormat="1" ht="15.75" customHeight="1" x14ac:dyDescent="0.25">
      <c r="A346" s="446">
        <v>3</v>
      </c>
      <c r="B346" s="431" t="s">
        <v>290</v>
      </c>
      <c r="C346" s="438" t="s">
        <v>288</v>
      </c>
      <c r="D346" s="457" t="s">
        <v>24</v>
      </c>
      <c r="E346" s="457" t="s">
        <v>25</v>
      </c>
      <c r="F346" s="457" t="s">
        <v>319</v>
      </c>
      <c r="G346" s="332">
        <v>1</v>
      </c>
      <c r="H346" s="288"/>
      <c r="I346" s="47"/>
      <c r="J346" s="363" t="s">
        <v>481</v>
      </c>
      <c r="K346" s="363" t="s">
        <v>28</v>
      </c>
      <c r="L346" s="331" t="s">
        <v>37</v>
      </c>
      <c r="M346" s="363" t="s">
        <v>514</v>
      </c>
      <c r="N346" s="456"/>
      <c r="O346" s="265">
        <v>0</v>
      </c>
      <c r="P346" s="266"/>
      <c r="Q346" s="267"/>
      <c r="R346" s="273">
        <f>G346*O346</f>
        <v>0</v>
      </c>
      <c r="S346" s="155"/>
    </row>
    <row r="347" spans="1:19" s="61" customFormat="1" ht="15.75" customHeight="1" x14ac:dyDescent="0.25">
      <c r="A347" s="447"/>
      <c r="B347" s="432"/>
      <c r="C347" s="439"/>
      <c r="D347" s="458"/>
      <c r="E347" s="458"/>
      <c r="F347" s="458"/>
      <c r="G347" s="248">
        <v>1</v>
      </c>
      <c r="H347" s="292"/>
      <c r="I347" s="47"/>
      <c r="J347" s="48" t="s">
        <v>447</v>
      </c>
      <c r="K347" s="251" t="s">
        <v>28</v>
      </c>
      <c r="L347" s="47" t="s">
        <v>17</v>
      </c>
      <c r="M347" s="48" t="s">
        <v>26</v>
      </c>
      <c r="N347" s="458"/>
      <c r="O347" s="265">
        <v>0</v>
      </c>
      <c r="P347" s="266"/>
      <c r="Q347" s="267"/>
      <c r="R347" s="273">
        <f>G347*O347</f>
        <v>0</v>
      </c>
      <c r="S347" s="155"/>
    </row>
    <row r="348" spans="1:19" s="61" customFormat="1" ht="15.75" customHeight="1" x14ac:dyDescent="0.25">
      <c r="A348" s="448"/>
      <c r="B348" s="433"/>
      <c r="C348" s="192"/>
      <c r="D348" s="191"/>
      <c r="E348" s="191"/>
      <c r="F348" s="191"/>
      <c r="G348" s="288"/>
      <c r="H348" s="293">
        <v>2</v>
      </c>
      <c r="I348" s="331"/>
      <c r="J348" s="363"/>
      <c r="K348" s="363"/>
      <c r="L348" s="331"/>
      <c r="M348" s="363"/>
      <c r="N348" s="191"/>
      <c r="O348" s="265"/>
      <c r="P348" s="266"/>
      <c r="Q348" s="267"/>
      <c r="R348" s="273"/>
      <c r="S348" s="155"/>
    </row>
    <row r="349" spans="1:19" s="61" customFormat="1" ht="15.75" customHeight="1" x14ac:dyDescent="0.25">
      <c r="A349" s="434">
        <v>4</v>
      </c>
      <c r="B349" s="431" t="s">
        <v>291</v>
      </c>
      <c r="C349" s="48" t="s">
        <v>288</v>
      </c>
      <c r="D349" s="532" t="s">
        <v>24</v>
      </c>
      <c r="E349" s="457" t="s">
        <v>25</v>
      </c>
      <c r="F349" s="532" t="s">
        <v>320</v>
      </c>
      <c r="G349" s="288">
        <v>2</v>
      </c>
      <c r="H349" s="288"/>
      <c r="I349" s="47"/>
      <c r="J349" s="363" t="s">
        <v>509</v>
      </c>
      <c r="K349" s="363" t="s">
        <v>82</v>
      </c>
      <c r="L349" s="47" t="s">
        <v>41</v>
      </c>
      <c r="M349" s="48" t="s">
        <v>54</v>
      </c>
      <c r="N349" s="191"/>
      <c r="O349" s="265">
        <v>0</v>
      </c>
      <c r="P349" s="266"/>
      <c r="Q349" s="267"/>
      <c r="R349" s="273">
        <f>G349*O349</f>
        <v>0</v>
      </c>
      <c r="S349" s="155"/>
    </row>
    <row r="350" spans="1:19" s="61" customFormat="1" ht="15.75" customHeight="1" x14ac:dyDescent="0.25">
      <c r="A350" s="434"/>
      <c r="B350" s="433"/>
      <c r="C350" s="48"/>
      <c r="D350" s="455"/>
      <c r="E350" s="458"/>
      <c r="F350" s="455"/>
      <c r="G350" s="288"/>
      <c r="H350" s="334">
        <v>2</v>
      </c>
      <c r="I350" s="331"/>
      <c r="J350" s="363"/>
      <c r="K350" s="363"/>
      <c r="L350" s="331"/>
      <c r="M350" s="363"/>
      <c r="N350" s="191"/>
      <c r="O350" s="265"/>
      <c r="P350" s="266"/>
      <c r="Q350" s="267"/>
      <c r="R350" s="273"/>
      <c r="S350" s="155"/>
    </row>
    <row r="351" spans="1:19" s="61" customFormat="1" ht="15.75" customHeight="1" x14ac:dyDescent="0.25">
      <c r="A351" s="434"/>
      <c r="B351" s="431" t="s">
        <v>292</v>
      </c>
      <c r="C351" s="438" t="s">
        <v>288</v>
      </c>
      <c r="D351" s="457" t="s">
        <v>24</v>
      </c>
      <c r="E351" s="457" t="s">
        <v>25</v>
      </c>
      <c r="F351" s="457" t="s">
        <v>320</v>
      </c>
      <c r="G351" s="332">
        <v>1</v>
      </c>
      <c r="H351" s="288"/>
      <c r="I351" s="47"/>
      <c r="J351" s="48" t="s">
        <v>455</v>
      </c>
      <c r="K351" s="48" t="s">
        <v>28</v>
      </c>
      <c r="L351" s="47" t="s">
        <v>17</v>
      </c>
      <c r="M351" s="48" t="s">
        <v>26</v>
      </c>
      <c r="N351" s="456"/>
      <c r="O351" s="265">
        <v>0</v>
      </c>
      <c r="P351" s="266"/>
      <c r="Q351" s="267"/>
      <c r="R351" s="273">
        <f>G351*O351</f>
        <v>0</v>
      </c>
      <c r="S351" s="155"/>
    </row>
    <row r="352" spans="1:19" s="61" customFormat="1" x14ac:dyDescent="0.25">
      <c r="A352" s="434"/>
      <c r="B352" s="432"/>
      <c r="C352" s="439"/>
      <c r="D352" s="458"/>
      <c r="E352" s="458"/>
      <c r="F352" s="458"/>
      <c r="G352" s="248">
        <v>1</v>
      </c>
      <c r="H352" s="292"/>
      <c r="I352" s="47"/>
      <c r="J352" s="55" t="s">
        <v>466</v>
      </c>
      <c r="K352" s="48" t="s">
        <v>564</v>
      </c>
      <c r="L352" s="47" t="s">
        <v>17</v>
      </c>
      <c r="M352" s="48" t="s">
        <v>26</v>
      </c>
      <c r="N352" s="458"/>
      <c r="O352" s="265">
        <v>0</v>
      </c>
      <c r="P352" s="266"/>
      <c r="Q352" s="267"/>
      <c r="R352" s="273">
        <f>G352*O352</f>
        <v>0</v>
      </c>
      <c r="S352" s="155"/>
    </row>
    <row r="353" spans="1:19" s="61" customFormat="1" ht="15.75" customHeight="1" x14ac:dyDescent="0.25">
      <c r="A353" s="434"/>
      <c r="B353" s="433"/>
      <c r="C353" s="192"/>
      <c r="D353" s="191"/>
      <c r="E353" s="191"/>
      <c r="F353" s="191"/>
      <c r="G353" s="288"/>
      <c r="H353" s="293">
        <v>2</v>
      </c>
      <c r="I353" s="331"/>
      <c r="J353" s="363"/>
      <c r="K353" s="363"/>
      <c r="L353" s="331"/>
      <c r="M353" s="363"/>
      <c r="N353" s="191"/>
      <c r="O353" s="265"/>
      <c r="P353" s="266"/>
      <c r="Q353" s="267"/>
      <c r="R353" s="273"/>
      <c r="S353" s="155"/>
    </row>
    <row r="354" spans="1:19" s="61" customFormat="1" ht="15.75" customHeight="1" x14ac:dyDescent="0.25">
      <c r="A354" s="435"/>
      <c r="B354" s="445" t="s">
        <v>293</v>
      </c>
      <c r="C354" s="48" t="s">
        <v>288</v>
      </c>
      <c r="D354" s="47" t="s">
        <v>24</v>
      </c>
      <c r="E354" s="47" t="s">
        <v>25</v>
      </c>
      <c r="F354" s="47" t="s">
        <v>320</v>
      </c>
      <c r="G354" s="288">
        <v>2</v>
      </c>
      <c r="H354" s="288"/>
      <c r="I354" s="47"/>
      <c r="J354" s="363" t="s">
        <v>496</v>
      </c>
      <c r="K354" s="48" t="s">
        <v>28</v>
      </c>
      <c r="L354" s="47" t="s">
        <v>37</v>
      </c>
      <c r="M354" s="48" t="s">
        <v>513</v>
      </c>
      <c r="N354" s="191"/>
      <c r="O354" s="265">
        <v>0</v>
      </c>
      <c r="P354" s="266"/>
      <c r="Q354" s="267"/>
      <c r="R354" s="273">
        <f>G354*O354</f>
        <v>0</v>
      </c>
      <c r="S354" s="155"/>
    </row>
    <row r="355" spans="1:19" s="61" customFormat="1" ht="15.75" customHeight="1" x14ac:dyDescent="0.25">
      <c r="A355" s="435"/>
      <c r="B355" s="433"/>
      <c r="C355" s="48"/>
      <c r="D355" s="47"/>
      <c r="E355" s="47"/>
      <c r="F355" s="47"/>
      <c r="G355" s="288"/>
      <c r="H355" s="334">
        <v>2</v>
      </c>
      <c r="I355" s="331"/>
      <c r="J355" s="363"/>
      <c r="K355" s="363"/>
      <c r="L355" s="331"/>
      <c r="M355" s="363"/>
      <c r="N355" s="191"/>
      <c r="O355" s="265"/>
      <c r="P355" s="266"/>
      <c r="Q355" s="267"/>
      <c r="R355" s="273"/>
      <c r="S355" s="155"/>
    </row>
    <row r="356" spans="1:19" s="61" customFormat="1" ht="15.75" customHeight="1" x14ac:dyDescent="0.25">
      <c r="A356" s="434">
        <v>1</v>
      </c>
      <c r="B356" s="523" t="s">
        <v>306</v>
      </c>
      <c r="C356" s="48" t="s">
        <v>288</v>
      </c>
      <c r="D356" s="47" t="s">
        <v>36</v>
      </c>
      <c r="E356" s="47" t="s">
        <v>25</v>
      </c>
      <c r="F356" s="47" t="s">
        <v>321</v>
      </c>
      <c r="G356" s="288">
        <v>2</v>
      </c>
      <c r="H356" s="288"/>
      <c r="I356" s="47"/>
      <c r="J356" s="363" t="s">
        <v>496</v>
      </c>
      <c r="K356" s="48" t="s">
        <v>28</v>
      </c>
      <c r="L356" s="47" t="s">
        <v>37</v>
      </c>
      <c r="M356" s="48" t="s">
        <v>513</v>
      </c>
      <c r="N356" s="451"/>
      <c r="O356" s="265">
        <v>0</v>
      </c>
      <c r="P356" s="267"/>
      <c r="Q356" s="267"/>
      <c r="R356" s="273">
        <f>G356*O356</f>
        <v>0</v>
      </c>
      <c r="S356" s="155"/>
    </row>
    <row r="357" spans="1:19" s="61" customFormat="1" x14ac:dyDescent="0.25">
      <c r="A357" s="435"/>
      <c r="B357" s="524"/>
      <c r="C357" s="48"/>
      <c r="D357" s="47"/>
      <c r="E357" s="47"/>
      <c r="F357" s="47"/>
      <c r="G357" s="288"/>
      <c r="H357" s="288">
        <v>2</v>
      </c>
      <c r="I357" s="47"/>
      <c r="J357" s="48"/>
      <c r="K357" s="48"/>
      <c r="L357" s="47"/>
      <c r="M357" s="48"/>
      <c r="N357" s="451"/>
      <c r="O357" s="265"/>
      <c r="P357" s="267"/>
      <c r="Q357" s="267"/>
      <c r="R357" s="273">
        <f>G357*O357</f>
        <v>0</v>
      </c>
      <c r="S357" s="155"/>
    </row>
    <row r="358" spans="1:19" s="61" customFormat="1" ht="15.75" customHeight="1" x14ac:dyDescent="0.25">
      <c r="A358" s="434">
        <v>2</v>
      </c>
      <c r="B358" s="437" t="s">
        <v>307</v>
      </c>
      <c r="C358" s="48" t="s">
        <v>288</v>
      </c>
      <c r="D358" s="47" t="s">
        <v>36</v>
      </c>
      <c r="E358" s="47" t="s">
        <v>25</v>
      </c>
      <c r="F358" s="47" t="s">
        <v>321</v>
      </c>
      <c r="G358" s="288">
        <v>2</v>
      </c>
      <c r="H358" s="288"/>
      <c r="I358" s="47"/>
      <c r="J358" s="363" t="s">
        <v>509</v>
      </c>
      <c r="K358" s="363" t="s">
        <v>82</v>
      </c>
      <c r="L358" s="47" t="s">
        <v>41</v>
      </c>
      <c r="M358" s="48" t="s">
        <v>54</v>
      </c>
      <c r="N358" s="453"/>
      <c r="O358" s="265">
        <v>0</v>
      </c>
      <c r="P358" s="266"/>
      <c r="Q358" s="267"/>
      <c r="R358" s="273">
        <f>G358*O358</f>
        <v>0</v>
      </c>
      <c r="S358" s="155"/>
    </row>
    <row r="359" spans="1:19" s="61" customFormat="1" x14ac:dyDescent="0.25">
      <c r="A359" s="435"/>
      <c r="B359" s="433"/>
      <c r="C359" s="48"/>
      <c r="D359" s="47"/>
      <c r="E359" s="47"/>
      <c r="F359" s="47"/>
      <c r="G359" s="288"/>
      <c r="H359" s="288">
        <v>2</v>
      </c>
      <c r="I359" s="47"/>
      <c r="J359" s="48"/>
      <c r="K359" s="48"/>
      <c r="L359" s="47"/>
      <c r="M359" s="48"/>
      <c r="N359" s="455"/>
      <c r="O359" s="265"/>
      <c r="P359" s="266"/>
      <c r="Q359" s="267"/>
      <c r="R359" s="273"/>
      <c r="S359" s="155"/>
    </row>
    <row r="360" spans="1:19" s="61" customFormat="1" ht="15.75" customHeight="1" x14ac:dyDescent="0.25">
      <c r="A360" s="434">
        <v>3</v>
      </c>
      <c r="B360" s="431" t="s">
        <v>308</v>
      </c>
      <c r="C360" s="438" t="s">
        <v>288</v>
      </c>
      <c r="D360" s="457" t="s">
        <v>36</v>
      </c>
      <c r="E360" s="457" t="s">
        <v>25</v>
      </c>
      <c r="F360" s="457" t="s">
        <v>321</v>
      </c>
      <c r="G360" s="332">
        <v>2</v>
      </c>
      <c r="H360" s="406"/>
      <c r="I360" s="391"/>
      <c r="J360" s="48" t="s">
        <v>455</v>
      </c>
      <c r="K360" s="48" t="s">
        <v>28</v>
      </c>
      <c r="L360" s="47" t="s">
        <v>17</v>
      </c>
      <c r="M360" s="48" t="s">
        <v>26</v>
      </c>
      <c r="N360" s="453"/>
      <c r="O360" s="265">
        <v>0</v>
      </c>
      <c r="P360" s="266"/>
      <c r="Q360" s="267"/>
      <c r="R360" s="273">
        <f>G360*O360</f>
        <v>0</v>
      </c>
      <c r="S360" s="155"/>
    </row>
    <row r="361" spans="1:19" s="61" customFormat="1" x14ac:dyDescent="0.25">
      <c r="A361" s="435"/>
      <c r="B361" s="432"/>
      <c r="C361" s="439"/>
      <c r="D361" s="458"/>
      <c r="E361" s="458"/>
      <c r="F361" s="458"/>
      <c r="G361" s="248"/>
      <c r="H361" s="407"/>
      <c r="I361" s="392"/>
      <c r="J361" s="55" t="s">
        <v>466</v>
      </c>
      <c r="K361" s="48" t="s">
        <v>564</v>
      </c>
      <c r="L361" s="47" t="s">
        <v>17</v>
      </c>
      <c r="M361" s="48" t="s">
        <v>26</v>
      </c>
      <c r="N361" s="454"/>
      <c r="O361" s="265"/>
      <c r="P361" s="266"/>
      <c r="Q361" s="267"/>
      <c r="R361" s="273">
        <f>G361*O361</f>
        <v>0</v>
      </c>
      <c r="S361" s="155"/>
    </row>
    <row r="362" spans="1:19" s="61" customFormat="1" ht="15.75" customHeight="1" x14ac:dyDescent="0.25">
      <c r="A362" s="435"/>
      <c r="B362" s="433"/>
      <c r="C362" s="192"/>
      <c r="D362" s="191"/>
      <c r="E362" s="191"/>
      <c r="F362" s="191"/>
      <c r="G362" s="288"/>
      <c r="H362" s="292">
        <v>2</v>
      </c>
      <c r="I362" s="191"/>
      <c r="J362" s="48"/>
      <c r="K362" s="48"/>
      <c r="L362" s="47"/>
      <c r="M362" s="48"/>
      <c r="N362" s="455"/>
      <c r="O362" s="265"/>
      <c r="P362" s="266"/>
      <c r="Q362" s="267"/>
      <c r="R362" s="273"/>
      <c r="S362" s="155"/>
    </row>
    <row r="363" spans="1:19" s="62" customFormat="1" ht="15.75" customHeight="1" x14ac:dyDescent="0.25">
      <c r="A363" s="434">
        <v>4</v>
      </c>
      <c r="B363" s="437" t="s">
        <v>309</v>
      </c>
      <c r="C363" s="363" t="s">
        <v>288</v>
      </c>
      <c r="D363" s="331" t="s">
        <v>36</v>
      </c>
      <c r="E363" s="457" t="s">
        <v>25</v>
      </c>
      <c r="F363" s="331" t="s">
        <v>320</v>
      </c>
      <c r="G363" s="334">
        <v>2</v>
      </c>
      <c r="H363" s="334"/>
      <c r="I363" s="331"/>
      <c r="J363" s="251" t="s">
        <v>568</v>
      </c>
      <c r="K363" s="251" t="s">
        <v>43</v>
      </c>
      <c r="L363" s="376" t="s">
        <v>17</v>
      </c>
      <c r="M363" s="48" t="s">
        <v>26</v>
      </c>
      <c r="N363" s="470"/>
      <c r="O363" s="265">
        <v>1</v>
      </c>
      <c r="P363" s="379"/>
      <c r="Q363" s="380"/>
      <c r="R363" s="273">
        <f>G363*O363</f>
        <v>2</v>
      </c>
      <c r="S363" s="155"/>
    </row>
    <row r="364" spans="1:19" s="61" customFormat="1" ht="15.75" customHeight="1" x14ac:dyDescent="0.25">
      <c r="A364" s="434"/>
      <c r="B364" s="433"/>
      <c r="C364" s="48"/>
      <c r="D364" s="47"/>
      <c r="E364" s="458"/>
      <c r="F364" s="47"/>
      <c r="G364" s="288"/>
      <c r="H364" s="288">
        <v>2</v>
      </c>
      <c r="I364" s="47"/>
      <c r="J364" s="48"/>
      <c r="K364" s="48"/>
      <c r="L364" s="47"/>
      <c r="M364" s="48"/>
      <c r="N364" s="455"/>
      <c r="O364" s="265"/>
      <c r="P364" s="266"/>
      <c r="Q364" s="267"/>
      <c r="R364" s="273"/>
      <c r="S364" s="155"/>
    </row>
    <row r="365" spans="1:19" s="61" customFormat="1" ht="15.75" customHeight="1" x14ac:dyDescent="0.25">
      <c r="A365" s="435"/>
      <c r="B365" s="431" t="s">
        <v>310</v>
      </c>
      <c r="C365" s="48" t="s">
        <v>288</v>
      </c>
      <c r="D365" s="47" t="s">
        <v>36</v>
      </c>
      <c r="E365" s="47" t="s">
        <v>25</v>
      </c>
      <c r="F365" s="47" t="s">
        <v>320</v>
      </c>
      <c r="G365" s="288">
        <v>2</v>
      </c>
      <c r="H365" s="288"/>
      <c r="I365" s="47"/>
      <c r="J365" s="55" t="s">
        <v>451</v>
      </c>
      <c r="K365" s="298" t="s">
        <v>28</v>
      </c>
      <c r="L365" s="73" t="s">
        <v>17</v>
      </c>
      <c r="M365" s="55" t="s">
        <v>26</v>
      </c>
      <c r="N365" s="453"/>
      <c r="O365" s="265">
        <v>0</v>
      </c>
      <c r="P365" s="266"/>
      <c r="Q365" s="267"/>
      <c r="R365" s="273">
        <f>G365*O365</f>
        <v>0</v>
      </c>
      <c r="S365" s="155"/>
    </row>
    <row r="366" spans="1:19" s="61" customFormat="1" x14ac:dyDescent="0.25">
      <c r="A366" s="435"/>
      <c r="B366" s="433"/>
      <c r="C366" s="48"/>
      <c r="D366" s="47"/>
      <c r="E366" s="47"/>
      <c r="F366" s="47"/>
      <c r="G366" s="288"/>
      <c r="H366" s="288">
        <v>2</v>
      </c>
      <c r="I366" s="47"/>
      <c r="J366" s="48"/>
      <c r="K366" s="48"/>
      <c r="L366" s="47"/>
      <c r="M366" s="48"/>
      <c r="N366" s="455"/>
      <c r="O366" s="265"/>
      <c r="P366" s="266"/>
      <c r="Q366" s="267"/>
      <c r="R366" s="273"/>
      <c r="S366" s="155"/>
    </row>
    <row r="367" spans="1:19" s="61" customFormat="1" ht="15.75" customHeight="1" x14ac:dyDescent="0.25">
      <c r="A367" s="435"/>
      <c r="B367" s="449" t="s">
        <v>311</v>
      </c>
      <c r="C367" s="48" t="s">
        <v>288</v>
      </c>
      <c r="D367" s="47" t="s">
        <v>36</v>
      </c>
      <c r="E367" s="47" t="s">
        <v>25</v>
      </c>
      <c r="F367" s="47" t="s">
        <v>320</v>
      </c>
      <c r="G367" s="288">
        <v>2</v>
      </c>
      <c r="H367" s="288"/>
      <c r="I367" s="47"/>
      <c r="J367" s="363" t="s">
        <v>496</v>
      </c>
      <c r="K367" s="48" t="s">
        <v>28</v>
      </c>
      <c r="L367" s="47" t="s">
        <v>37</v>
      </c>
      <c r="M367" s="48" t="s">
        <v>513</v>
      </c>
      <c r="N367" s="470"/>
      <c r="O367" s="265">
        <v>0</v>
      </c>
      <c r="P367" s="266"/>
      <c r="Q367" s="267"/>
      <c r="R367" s="273">
        <f>G367*O367</f>
        <v>0</v>
      </c>
      <c r="S367" s="155"/>
    </row>
    <row r="368" spans="1:19" s="61" customFormat="1" x14ac:dyDescent="0.25">
      <c r="A368" s="435"/>
      <c r="B368" s="433"/>
      <c r="C368" s="48"/>
      <c r="D368" s="47"/>
      <c r="E368" s="47"/>
      <c r="F368" s="47"/>
      <c r="G368" s="288"/>
      <c r="H368" s="288">
        <v>2</v>
      </c>
      <c r="I368" s="47"/>
      <c r="J368" s="48"/>
      <c r="K368" s="48"/>
      <c r="L368" s="47"/>
      <c r="M368" s="48"/>
      <c r="N368" s="455"/>
      <c r="O368" s="265"/>
      <c r="P368" s="266"/>
      <c r="Q368" s="267"/>
      <c r="R368" s="273"/>
      <c r="S368" s="155"/>
    </row>
    <row r="369" spans="1:19" s="61" customFormat="1" ht="15.75" customHeight="1" x14ac:dyDescent="0.25">
      <c r="A369" s="155"/>
      <c r="B369" s="285"/>
      <c r="C369" s="279"/>
      <c r="D369" s="280"/>
      <c r="E369" s="280"/>
      <c r="F369" s="280"/>
      <c r="G369" s="277" t="e">
        <f ca="1">SUM(G341:G737)</f>
        <v>#REF!</v>
      </c>
      <c r="H369" s="277">
        <f>SUM(H666:H738)</f>
        <v>42</v>
      </c>
      <c r="I369" s="155"/>
      <c r="J369" s="277"/>
      <c r="K369" s="285"/>
      <c r="L369" s="280"/>
      <c r="M369" s="286"/>
      <c r="N369" s="155"/>
      <c r="O369" s="155"/>
      <c r="P369" s="155"/>
      <c r="Q369" s="155"/>
      <c r="R369" s="270"/>
      <c r="S369" s="155"/>
    </row>
    <row r="370" spans="1:19" ht="40.5" customHeight="1" x14ac:dyDescent="0.25">
      <c r="B370" s="143"/>
      <c r="C370" s="29"/>
      <c r="D370" s="20"/>
      <c r="E370" s="20"/>
      <c r="F370" s="20"/>
      <c r="G370" s="144"/>
      <c r="H370" s="144"/>
      <c r="J370" s="144"/>
      <c r="K370" s="143"/>
      <c r="L370" s="20"/>
      <c r="M370" s="146"/>
      <c r="R370" s="309"/>
    </row>
    <row r="371" spans="1:19" ht="21" x14ac:dyDescent="0.25">
      <c r="A371" s="6"/>
      <c r="B371" s="7"/>
      <c r="C371" s="7"/>
      <c r="D371" s="6"/>
      <c r="E371" s="6"/>
      <c r="F371" s="6"/>
      <c r="G371" s="6"/>
      <c r="H371" s="7"/>
      <c r="I371" s="7"/>
      <c r="J371" s="7"/>
      <c r="K371" s="7"/>
      <c r="L371" s="6"/>
      <c r="M371" s="7"/>
      <c r="R371" s="66"/>
    </row>
    <row r="372" spans="1:19" ht="25.5" x14ac:dyDescent="0.25">
      <c r="A372" s="6"/>
      <c r="B372" s="316" t="s">
        <v>49</v>
      </c>
      <c r="C372" s="7"/>
      <c r="D372" s="6"/>
      <c r="E372" s="6"/>
      <c r="F372" s="6"/>
      <c r="G372" s="6"/>
      <c r="H372" s="7"/>
      <c r="I372" s="7"/>
      <c r="J372" s="7"/>
      <c r="K372" s="7"/>
      <c r="L372" s="6"/>
      <c r="M372" s="7"/>
      <c r="R372" s="66"/>
    </row>
    <row r="373" spans="1:19" ht="25.5" x14ac:dyDescent="0.25">
      <c r="A373" s="6"/>
      <c r="B373" s="316"/>
      <c r="C373" s="7"/>
      <c r="D373" s="6"/>
      <c r="E373" s="6"/>
      <c r="F373" s="6"/>
      <c r="G373" s="6"/>
      <c r="H373" s="7"/>
      <c r="I373" s="7"/>
      <c r="J373" s="7"/>
      <c r="K373" s="7"/>
      <c r="L373" s="6"/>
      <c r="M373" s="7"/>
      <c r="R373" s="66"/>
    </row>
    <row r="374" spans="1:19" s="61" customFormat="1" ht="15.75" customHeight="1" x14ac:dyDescent="0.25">
      <c r="A374" s="6"/>
      <c r="B374" s="304" t="s">
        <v>329</v>
      </c>
      <c r="C374" s="304"/>
      <c r="D374" s="305"/>
      <c r="E374" s="305"/>
      <c r="F374" s="305"/>
      <c r="G374" s="305"/>
      <c r="H374" s="304"/>
      <c r="I374" s="304"/>
      <c r="J374" s="304"/>
      <c r="K374" s="7"/>
      <c r="L374" s="6"/>
      <c r="M374" s="7"/>
      <c r="N374"/>
      <c r="O374"/>
      <c r="P374"/>
      <c r="Q374"/>
      <c r="R374"/>
      <c r="S374"/>
    </row>
    <row r="375" spans="1:19" s="61" customFormat="1" ht="15.75" customHeight="1" x14ac:dyDescent="0.25">
      <c r="A375"/>
      <c r="B375" s="31"/>
      <c r="C375" s="31"/>
      <c r="D375"/>
      <c r="E375"/>
      <c r="F375"/>
      <c r="G375"/>
      <c r="H375"/>
      <c r="I375"/>
      <c r="J375"/>
      <c r="K375" s="31"/>
      <c r="L375" s="32"/>
      <c r="M375"/>
      <c r="N375"/>
      <c r="O375"/>
      <c r="P375"/>
      <c r="Q375"/>
      <c r="R375" s="66"/>
      <c r="S375"/>
    </row>
    <row r="376" spans="1:19" s="61" customFormat="1" ht="15.75" customHeight="1" x14ac:dyDescent="0.25">
      <c r="A376" s="28"/>
      <c r="B376" s="228" t="s">
        <v>49</v>
      </c>
      <c r="C376" s="30"/>
      <c r="D376" s="20"/>
      <c r="E376" s="20"/>
      <c r="F376" s="20"/>
      <c r="G376" s="20"/>
      <c r="H376" s="20"/>
      <c r="I376" s="20"/>
      <c r="J376" s="29"/>
      <c r="K376" s="29"/>
      <c r="L376" s="20"/>
      <c r="M376" s="29"/>
      <c r="N376" s="65"/>
      <c r="O376" s="65"/>
      <c r="P376" s="65"/>
      <c r="Q376"/>
      <c r="R376" s="66"/>
      <c r="S376"/>
    </row>
    <row r="377" spans="1:19" s="61" customFormat="1" ht="15.75" customHeight="1" x14ac:dyDescent="0.25">
      <c r="A377"/>
      <c r="B377" s="31"/>
      <c r="C377" s="31"/>
      <c r="D377"/>
      <c r="E377"/>
      <c r="F377"/>
      <c r="G377"/>
      <c r="H377"/>
      <c r="I377"/>
      <c r="J377"/>
      <c r="K377" s="31"/>
      <c r="L377" s="32"/>
      <c r="M377"/>
      <c r="N377" s="65"/>
      <c r="O377" s="65"/>
      <c r="P377" s="65"/>
      <c r="Q377"/>
      <c r="R377" s="66"/>
      <c r="S377"/>
    </row>
    <row r="378" spans="1:19" s="61" customFormat="1" ht="15.75" customHeight="1" x14ac:dyDescent="0.25">
      <c r="A378" s="434">
        <v>1</v>
      </c>
      <c r="B378" s="48" t="s">
        <v>90</v>
      </c>
      <c r="C378" s="48" t="s">
        <v>68</v>
      </c>
      <c r="D378" s="47" t="s">
        <v>24</v>
      </c>
      <c r="E378" s="47" t="s">
        <v>51</v>
      </c>
      <c r="F378" s="47" t="s">
        <v>17</v>
      </c>
      <c r="G378" s="47">
        <v>2</v>
      </c>
      <c r="H378" s="38"/>
      <c r="I378" s="47"/>
      <c r="J378" s="48" t="s">
        <v>458</v>
      </c>
      <c r="K378" s="48" t="s">
        <v>82</v>
      </c>
      <c r="L378" s="47" t="s">
        <v>17</v>
      </c>
      <c r="M378" s="48" t="s">
        <v>26</v>
      </c>
      <c r="N378" s="362"/>
      <c r="O378" s="362">
        <v>1</v>
      </c>
      <c r="P378" s="362"/>
      <c r="R378" s="223">
        <f t="shared" ref="R378:S447" si="76">G378*O378</f>
        <v>2</v>
      </c>
      <c r="S378" s="155"/>
    </row>
    <row r="379" spans="1:19" s="61" customFormat="1" ht="15.75" customHeight="1" x14ac:dyDescent="0.25">
      <c r="A379" s="435"/>
      <c r="B379" s="48" t="s">
        <v>90</v>
      </c>
      <c r="C379" s="48" t="s">
        <v>68</v>
      </c>
      <c r="D379" s="47" t="s">
        <v>24</v>
      </c>
      <c r="E379" s="47" t="s">
        <v>51</v>
      </c>
      <c r="F379" s="47" t="s">
        <v>18</v>
      </c>
      <c r="G379" s="47"/>
      <c r="H379" s="47">
        <v>3</v>
      </c>
      <c r="I379" s="47"/>
      <c r="J379" s="48" t="s">
        <v>458</v>
      </c>
      <c r="K379" s="48" t="s">
        <v>82</v>
      </c>
      <c r="L379" s="47" t="s">
        <v>17</v>
      </c>
      <c r="M379" s="48" t="s">
        <v>26</v>
      </c>
      <c r="N379" s="362"/>
      <c r="O379" s="362"/>
      <c r="P379" s="362">
        <v>1</v>
      </c>
      <c r="R379" s="223"/>
      <c r="S379" s="155">
        <f t="shared" si="76"/>
        <v>3</v>
      </c>
    </row>
    <row r="380" spans="1:19" s="61" customFormat="1" ht="25.5" x14ac:dyDescent="0.25">
      <c r="A380" s="434">
        <v>2</v>
      </c>
      <c r="B380" s="48" t="s">
        <v>91</v>
      </c>
      <c r="C380" s="48" t="s">
        <v>68</v>
      </c>
      <c r="D380" s="47" t="s">
        <v>24</v>
      </c>
      <c r="E380" s="47" t="s">
        <v>51</v>
      </c>
      <c r="F380" s="47" t="s">
        <v>17</v>
      </c>
      <c r="G380" s="47">
        <v>2</v>
      </c>
      <c r="H380" s="47"/>
      <c r="I380" s="47"/>
      <c r="J380" s="150" t="s">
        <v>448</v>
      </c>
      <c r="K380" s="48" t="s">
        <v>82</v>
      </c>
      <c r="L380" s="56" t="s">
        <v>37</v>
      </c>
      <c r="M380" s="48" t="s">
        <v>423</v>
      </c>
      <c r="N380" s="362"/>
      <c r="O380" s="362">
        <v>1</v>
      </c>
      <c r="P380" s="362"/>
      <c r="R380" s="223">
        <f t="shared" ref="R380" si="77">G380*O380</f>
        <v>2</v>
      </c>
      <c r="S380" s="155"/>
    </row>
    <row r="381" spans="1:19" s="61" customFormat="1" x14ac:dyDescent="0.25">
      <c r="A381" s="435"/>
      <c r="B381" s="48" t="s">
        <v>91</v>
      </c>
      <c r="C381" s="48" t="s">
        <v>68</v>
      </c>
      <c r="D381" s="47" t="s">
        <v>24</v>
      </c>
      <c r="E381" s="47" t="s">
        <v>51</v>
      </c>
      <c r="F381" s="47" t="s">
        <v>18</v>
      </c>
      <c r="G381" s="47"/>
      <c r="H381" s="47">
        <v>3</v>
      </c>
      <c r="I381" s="47"/>
      <c r="J381" s="33" t="s">
        <v>551</v>
      </c>
      <c r="K381" s="48" t="s">
        <v>195</v>
      </c>
      <c r="L381" s="34" t="s">
        <v>17</v>
      </c>
      <c r="M381" s="48" t="s">
        <v>26</v>
      </c>
      <c r="N381" s="362"/>
      <c r="O381" s="362"/>
      <c r="P381" s="362">
        <v>1</v>
      </c>
      <c r="R381" s="223"/>
      <c r="S381" s="155">
        <f t="shared" ref="S381" si="78">H381*P381</f>
        <v>3</v>
      </c>
    </row>
    <row r="382" spans="1:19" s="61" customFormat="1" x14ac:dyDescent="0.25">
      <c r="A382" s="434">
        <v>3</v>
      </c>
      <c r="B382" s="48" t="s">
        <v>50</v>
      </c>
      <c r="C382" s="48" t="s">
        <v>68</v>
      </c>
      <c r="D382" s="47" t="s">
        <v>24</v>
      </c>
      <c r="E382" s="47" t="s">
        <v>51</v>
      </c>
      <c r="F382" s="47" t="s">
        <v>17</v>
      </c>
      <c r="G382" s="47">
        <v>3</v>
      </c>
      <c r="H382" s="38"/>
      <c r="I382" s="47"/>
      <c r="J382" s="48" t="s">
        <v>453</v>
      </c>
      <c r="K382" s="359" t="s">
        <v>28</v>
      </c>
      <c r="L382" s="47" t="s">
        <v>17</v>
      </c>
      <c r="M382" s="48" t="s">
        <v>26</v>
      </c>
      <c r="N382" s="362"/>
      <c r="O382" s="362">
        <v>1</v>
      </c>
      <c r="P382" s="362"/>
      <c r="R382" s="223">
        <f t="shared" ref="R382" si="79">G382*O382</f>
        <v>3</v>
      </c>
      <c r="S382" s="155"/>
    </row>
    <row r="383" spans="1:19" s="61" customFormat="1" x14ac:dyDescent="0.25">
      <c r="A383" s="435"/>
      <c r="B383" s="48" t="s">
        <v>50</v>
      </c>
      <c r="C383" s="48" t="s">
        <v>68</v>
      </c>
      <c r="D383" s="47" t="s">
        <v>24</v>
      </c>
      <c r="E383" s="47" t="s">
        <v>51</v>
      </c>
      <c r="F383" s="47" t="s">
        <v>18</v>
      </c>
      <c r="G383" s="47"/>
      <c r="H383" s="47">
        <v>2</v>
      </c>
      <c r="I383" s="47"/>
      <c r="J383" s="48" t="s">
        <v>453</v>
      </c>
      <c r="K383" s="359" t="s">
        <v>28</v>
      </c>
      <c r="L383" s="34" t="s">
        <v>17</v>
      </c>
      <c r="M383" s="48" t="s">
        <v>26</v>
      </c>
      <c r="N383" s="362"/>
      <c r="O383" s="362"/>
      <c r="P383" s="362">
        <v>1</v>
      </c>
      <c r="R383" s="223"/>
      <c r="S383" s="155">
        <f t="shared" ref="S383" si="80">H383*P383</f>
        <v>2</v>
      </c>
    </row>
    <row r="384" spans="1:19" s="61" customFormat="1" x14ac:dyDescent="0.25">
      <c r="A384" s="434">
        <v>4</v>
      </c>
      <c r="B384" s="48" t="s">
        <v>92</v>
      </c>
      <c r="C384" s="48" t="s">
        <v>68</v>
      </c>
      <c r="D384" s="47" t="s">
        <v>24</v>
      </c>
      <c r="E384" s="47" t="s">
        <v>51</v>
      </c>
      <c r="F384" s="47" t="s">
        <v>17</v>
      </c>
      <c r="G384" s="47">
        <v>2</v>
      </c>
      <c r="H384" s="47"/>
      <c r="I384" s="47"/>
      <c r="J384" s="48" t="s">
        <v>461</v>
      </c>
      <c r="K384" s="48" t="s">
        <v>82</v>
      </c>
      <c r="L384" s="47" t="s">
        <v>17</v>
      </c>
      <c r="M384" s="48" t="s">
        <v>26</v>
      </c>
      <c r="N384" s="362"/>
      <c r="O384" s="362">
        <v>1</v>
      </c>
      <c r="P384" s="362"/>
      <c r="R384" s="223">
        <f t="shared" ref="R384" si="81">G384*O384</f>
        <v>2</v>
      </c>
      <c r="S384" s="155"/>
    </row>
    <row r="385" spans="1:19" s="61" customFormat="1" x14ac:dyDescent="0.25">
      <c r="A385" s="435"/>
      <c r="B385" s="48" t="s">
        <v>92</v>
      </c>
      <c r="C385" s="48" t="s">
        <v>68</v>
      </c>
      <c r="D385" s="47" t="s">
        <v>24</v>
      </c>
      <c r="E385" s="47" t="s">
        <v>51</v>
      </c>
      <c r="F385" s="47" t="s">
        <v>18</v>
      </c>
      <c r="G385" s="47"/>
      <c r="H385" s="47">
        <v>3</v>
      </c>
      <c r="I385" s="47"/>
      <c r="J385" s="48" t="s">
        <v>461</v>
      </c>
      <c r="K385" s="48" t="s">
        <v>82</v>
      </c>
      <c r="L385" s="47" t="s">
        <v>17</v>
      </c>
      <c r="M385" s="48" t="s">
        <v>26</v>
      </c>
      <c r="N385" s="362"/>
      <c r="O385" s="362"/>
      <c r="P385" s="362">
        <v>1</v>
      </c>
      <c r="R385" s="223"/>
      <c r="S385" s="155">
        <f t="shared" ref="S385" si="82">H385*P385</f>
        <v>3</v>
      </c>
    </row>
    <row r="386" spans="1:19" s="404" customFormat="1" ht="15.75" customHeight="1" x14ac:dyDescent="0.25">
      <c r="A386" s="393">
        <v>5</v>
      </c>
      <c r="B386" s="415" t="s">
        <v>53</v>
      </c>
      <c r="C386" s="397" t="s">
        <v>68</v>
      </c>
      <c r="D386" s="391" t="s">
        <v>24</v>
      </c>
      <c r="E386" s="331" t="s">
        <v>51</v>
      </c>
      <c r="F386" s="391" t="s">
        <v>17</v>
      </c>
      <c r="G386" s="391">
        <v>2</v>
      </c>
      <c r="H386" s="38"/>
      <c r="I386" s="391"/>
      <c r="J386" s="54"/>
      <c r="K386" s="397"/>
      <c r="L386" s="75"/>
      <c r="M386" s="251"/>
      <c r="N386" s="396"/>
      <c r="O386" s="396">
        <v>1</v>
      </c>
      <c r="P386" s="396"/>
      <c r="R386" s="223">
        <f t="shared" ref="R386" si="83">G386*O386</f>
        <v>2</v>
      </c>
      <c r="S386" s="155"/>
    </row>
    <row r="387" spans="1:19" s="61" customFormat="1" ht="25.5" x14ac:dyDescent="0.25">
      <c r="A387" s="452">
        <v>6</v>
      </c>
      <c r="B387" s="363" t="s">
        <v>56</v>
      </c>
      <c r="C387" s="48" t="s">
        <v>68</v>
      </c>
      <c r="D387" s="47" t="s">
        <v>24</v>
      </c>
      <c r="E387" s="331" t="s">
        <v>51</v>
      </c>
      <c r="F387" s="47" t="s">
        <v>17</v>
      </c>
      <c r="G387" s="47">
        <v>2</v>
      </c>
      <c r="H387" s="47"/>
      <c r="I387" s="47"/>
      <c r="J387" s="363" t="s">
        <v>538</v>
      </c>
      <c r="K387" s="359" t="s">
        <v>28</v>
      </c>
      <c r="L387" s="73" t="s">
        <v>17</v>
      </c>
      <c r="M387" s="55" t="s">
        <v>26</v>
      </c>
      <c r="N387" s="362"/>
      <c r="O387" s="362">
        <v>1</v>
      </c>
      <c r="P387" s="362"/>
      <c r="R387" s="223">
        <f t="shared" ref="R387" si="84">G387*O387</f>
        <v>2</v>
      </c>
      <c r="S387" s="155"/>
    </row>
    <row r="388" spans="1:19" s="61" customFormat="1" ht="25.5" x14ac:dyDescent="0.25">
      <c r="A388" s="448"/>
      <c r="B388" s="363" t="s">
        <v>56</v>
      </c>
      <c r="C388" s="48" t="s">
        <v>68</v>
      </c>
      <c r="D388" s="47" t="s">
        <v>24</v>
      </c>
      <c r="E388" s="331" t="s">
        <v>51</v>
      </c>
      <c r="F388" s="47" t="s">
        <v>18</v>
      </c>
      <c r="G388" s="47"/>
      <c r="H388" s="47">
        <v>2</v>
      </c>
      <c r="I388" s="47"/>
      <c r="J388" s="251" t="s">
        <v>323</v>
      </c>
      <c r="K388" s="48" t="s">
        <v>303</v>
      </c>
      <c r="L388" s="73" t="s">
        <v>17</v>
      </c>
      <c r="M388" s="55" t="s">
        <v>26</v>
      </c>
      <c r="N388" s="362"/>
      <c r="O388" s="362"/>
      <c r="P388" s="362">
        <v>1</v>
      </c>
      <c r="R388" s="223"/>
      <c r="S388" s="155">
        <f t="shared" ref="S388" si="85">H388*P388</f>
        <v>2</v>
      </c>
    </row>
    <row r="389" spans="1:19" s="61" customFormat="1" ht="15.75" customHeight="1" x14ac:dyDescent="0.25">
      <c r="A389" s="434">
        <v>7</v>
      </c>
      <c r="B389" s="48" t="s">
        <v>183</v>
      </c>
      <c r="C389" s="48" t="s">
        <v>68</v>
      </c>
      <c r="D389" s="47" t="s">
        <v>24</v>
      </c>
      <c r="E389" s="47" t="s">
        <v>51</v>
      </c>
      <c r="F389" s="47" t="s">
        <v>17</v>
      </c>
      <c r="G389" s="47">
        <v>1</v>
      </c>
      <c r="H389" s="38"/>
      <c r="I389" s="47"/>
      <c r="J389" s="48" t="s">
        <v>467</v>
      </c>
      <c r="K389" s="251" t="s">
        <v>28</v>
      </c>
      <c r="L389" s="331" t="s">
        <v>17</v>
      </c>
      <c r="M389" s="363" t="s">
        <v>26</v>
      </c>
      <c r="N389" s="362"/>
      <c r="O389" s="362">
        <v>1</v>
      </c>
      <c r="P389" s="362"/>
      <c r="R389" s="223">
        <f t="shared" si="76"/>
        <v>1</v>
      </c>
      <c r="S389" s="155"/>
    </row>
    <row r="390" spans="1:19" s="61" customFormat="1" ht="15.75" customHeight="1" x14ac:dyDescent="0.25">
      <c r="A390" s="435"/>
      <c r="B390" s="48" t="s">
        <v>183</v>
      </c>
      <c r="C390" s="48" t="s">
        <v>68</v>
      </c>
      <c r="D390" s="47" t="s">
        <v>24</v>
      </c>
      <c r="E390" s="47" t="s">
        <v>51</v>
      </c>
      <c r="F390" s="47" t="s">
        <v>18</v>
      </c>
      <c r="G390" s="47"/>
      <c r="H390" s="47">
        <v>2</v>
      </c>
      <c r="I390" s="47"/>
      <c r="J390" s="48" t="s">
        <v>467</v>
      </c>
      <c r="K390" s="251" t="s">
        <v>28</v>
      </c>
      <c r="L390" s="331" t="s">
        <v>17</v>
      </c>
      <c r="M390" s="363" t="s">
        <v>26</v>
      </c>
      <c r="N390" s="362"/>
      <c r="O390" s="362"/>
      <c r="P390" s="362">
        <v>1</v>
      </c>
      <c r="R390" s="223"/>
      <c r="S390" s="155">
        <f t="shared" si="76"/>
        <v>2</v>
      </c>
    </row>
    <row r="391" spans="1:19" s="61" customFormat="1" ht="15.75" customHeight="1" x14ac:dyDescent="0.25">
      <c r="A391" s="435"/>
      <c r="B391" s="48" t="s">
        <v>493</v>
      </c>
      <c r="C391" s="48" t="s">
        <v>68</v>
      </c>
      <c r="D391" s="47" t="s">
        <v>24</v>
      </c>
      <c r="E391" s="47" t="s">
        <v>51</v>
      </c>
      <c r="F391" s="47" t="s">
        <v>17</v>
      </c>
      <c r="G391" s="47">
        <v>1</v>
      </c>
      <c r="H391" s="38"/>
      <c r="I391" s="47"/>
      <c r="J391" s="48"/>
      <c r="K391" s="363"/>
      <c r="L391" s="331"/>
      <c r="M391" s="363"/>
      <c r="N391" s="362"/>
      <c r="O391" s="362">
        <v>0</v>
      </c>
      <c r="P391" s="362"/>
      <c r="R391" s="223">
        <f t="shared" ref="R391" si="86">G391*O391</f>
        <v>0</v>
      </c>
      <c r="S391" s="155"/>
    </row>
    <row r="392" spans="1:19" s="61" customFormat="1" ht="15.75" customHeight="1" x14ac:dyDescent="0.25">
      <c r="A392" s="435"/>
      <c r="B392" s="48" t="s">
        <v>493</v>
      </c>
      <c r="C392" s="48" t="s">
        <v>68</v>
      </c>
      <c r="D392" s="47" t="s">
        <v>24</v>
      </c>
      <c r="E392" s="47" t="s">
        <v>51</v>
      </c>
      <c r="F392" s="47" t="s">
        <v>18</v>
      </c>
      <c r="G392" s="47"/>
      <c r="H392" s="47">
        <v>2</v>
      </c>
      <c r="I392" s="47"/>
      <c r="J392" s="48"/>
      <c r="K392" s="363"/>
      <c r="L392" s="331"/>
      <c r="M392" s="363"/>
      <c r="N392" s="362"/>
      <c r="O392" s="362"/>
      <c r="P392" s="362">
        <v>0</v>
      </c>
      <c r="R392" s="223"/>
      <c r="S392" s="155">
        <f t="shared" ref="S392" si="87">H392*P392</f>
        <v>0</v>
      </c>
    </row>
    <row r="393" spans="1:19" s="61" customFormat="1" ht="15.75" customHeight="1" x14ac:dyDescent="0.25">
      <c r="A393" s="435"/>
      <c r="B393" s="48" t="s">
        <v>184</v>
      </c>
      <c r="C393" s="48" t="s">
        <v>68</v>
      </c>
      <c r="D393" s="47" t="s">
        <v>24</v>
      </c>
      <c r="E393" s="47" t="s">
        <v>51</v>
      </c>
      <c r="F393" s="47" t="s">
        <v>17</v>
      </c>
      <c r="G393" s="47">
        <v>1</v>
      </c>
      <c r="H393" s="38"/>
      <c r="I393" s="47"/>
      <c r="J393" s="363"/>
      <c r="K393" s="363"/>
      <c r="L393" s="331"/>
      <c r="M393" s="363"/>
      <c r="N393" s="362"/>
      <c r="O393" s="362">
        <v>0</v>
      </c>
      <c r="P393" s="362"/>
      <c r="R393" s="223">
        <f t="shared" ref="R393" si="88">G393*O393</f>
        <v>0</v>
      </c>
      <c r="S393" s="155"/>
    </row>
    <row r="394" spans="1:19" s="61" customFormat="1" ht="15.75" customHeight="1" x14ac:dyDescent="0.25">
      <c r="A394" s="435"/>
      <c r="B394" s="48" t="s">
        <v>184</v>
      </c>
      <c r="C394" s="48" t="s">
        <v>68</v>
      </c>
      <c r="D394" s="47" t="s">
        <v>24</v>
      </c>
      <c r="E394" s="47" t="s">
        <v>51</v>
      </c>
      <c r="F394" s="47" t="s">
        <v>18</v>
      </c>
      <c r="G394" s="47"/>
      <c r="H394" s="47">
        <v>2</v>
      </c>
      <c r="I394" s="47"/>
      <c r="J394" s="363"/>
      <c r="K394" s="363"/>
      <c r="L394" s="331"/>
      <c r="M394" s="363"/>
      <c r="N394" s="362"/>
      <c r="O394" s="362"/>
      <c r="P394" s="362">
        <v>0</v>
      </c>
      <c r="R394" s="223"/>
      <c r="S394" s="155">
        <f t="shared" ref="S394" si="89">H394*P394</f>
        <v>0</v>
      </c>
    </row>
    <row r="395" spans="1:19" s="61" customFormat="1" x14ac:dyDescent="0.25">
      <c r="A395" s="435"/>
      <c r="B395" s="48" t="s">
        <v>494</v>
      </c>
      <c r="C395" s="48" t="s">
        <v>68</v>
      </c>
      <c r="D395" s="47" t="s">
        <v>24</v>
      </c>
      <c r="E395" s="47" t="s">
        <v>51</v>
      </c>
      <c r="F395" s="47" t="s">
        <v>17</v>
      </c>
      <c r="G395" s="47">
        <v>1</v>
      </c>
      <c r="H395" s="38"/>
      <c r="I395" s="47"/>
      <c r="J395" s="363"/>
      <c r="K395" s="363"/>
      <c r="L395" s="331"/>
      <c r="M395" s="363"/>
      <c r="N395" s="362"/>
      <c r="O395" s="362">
        <v>0</v>
      </c>
      <c r="P395" s="362"/>
      <c r="R395" s="223">
        <f t="shared" ref="R395" si="90">G395*O395</f>
        <v>0</v>
      </c>
      <c r="S395" s="155"/>
    </row>
    <row r="396" spans="1:19" s="61" customFormat="1" ht="15.75" customHeight="1" x14ac:dyDescent="0.25">
      <c r="A396" s="435"/>
      <c r="B396" s="48" t="s">
        <v>494</v>
      </c>
      <c r="C396" s="48" t="s">
        <v>68</v>
      </c>
      <c r="D396" s="47" t="s">
        <v>24</v>
      </c>
      <c r="E396" s="47" t="s">
        <v>51</v>
      </c>
      <c r="F396" s="47" t="s">
        <v>18</v>
      </c>
      <c r="G396" s="47"/>
      <c r="H396" s="47">
        <v>2</v>
      </c>
      <c r="I396" s="47"/>
      <c r="J396" s="48"/>
      <c r="K396" s="363"/>
      <c r="L396" s="331"/>
      <c r="M396" s="363"/>
      <c r="N396" s="362"/>
      <c r="O396" s="362"/>
      <c r="P396" s="362">
        <v>0</v>
      </c>
      <c r="R396" s="223"/>
      <c r="S396" s="155">
        <f t="shared" ref="S396" si="91">H396*P396</f>
        <v>0</v>
      </c>
    </row>
    <row r="397" spans="1:19" s="61" customFormat="1" x14ac:dyDescent="0.25">
      <c r="A397" s="446">
        <v>8</v>
      </c>
      <c r="B397" s="48" t="s">
        <v>59</v>
      </c>
      <c r="C397" s="48" t="s">
        <v>68</v>
      </c>
      <c r="D397" s="47" t="s">
        <v>36</v>
      </c>
      <c r="E397" s="47" t="s">
        <v>51</v>
      </c>
      <c r="F397" s="47" t="s">
        <v>17</v>
      </c>
      <c r="G397" s="47">
        <v>3</v>
      </c>
      <c r="H397" s="38"/>
      <c r="I397" s="47"/>
      <c r="J397" s="251" t="s">
        <v>485</v>
      </c>
      <c r="K397" s="48" t="s">
        <v>82</v>
      </c>
      <c r="L397" s="331" t="s">
        <v>17</v>
      </c>
      <c r="M397" s="363" t="s">
        <v>26</v>
      </c>
      <c r="N397" s="73"/>
      <c r="O397" s="362">
        <v>1</v>
      </c>
      <c r="P397" s="362"/>
      <c r="R397" s="223">
        <f t="shared" si="76"/>
        <v>3</v>
      </c>
      <c r="S397" s="155"/>
    </row>
    <row r="398" spans="1:19" s="61" customFormat="1" x14ac:dyDescent="0.25">
      <c r="A398" s="448"/>
      <c r="B398" s="48" t="s">
        <v>59</v>
      </c>
      <c r="C398" s="48" t="s">
        <v>68</v>
      </c>
      <c r="D398" s="47" t="s">
        <v>36</v>
      </c>
      <c r="E398" s="47" t="s">
        <v>51</v>
      </c>
      <c r="F398" s="47" t="s">
        <v>18</v>
      </c>
      <c r="G398" s="47"/>
      <c r="H398" s="47">
        <v>3</v>
      </c>
      <c r="I398" s="47"/>
      <c r="J398" s="251" t="s">
        <v>485</v>
      </c>
      <c r="K398" s="48" t="s">
        <v>82</v>
      </c>
      <c r="L398" s="331" t="s">
        <v>17</v>
      </c>
      <c r="M398" s="363" t="s">
        <v>26</v>
      </c>
      <c r="N398" s="73"/>
      <c r="O398" s="362"/>
      <c r="P398" s="362">
        <v>1</v>
      </c>
      <c r="R398" s="223"/>
      <c r="S398" s="155">
        <f t="shared" si="76"/>
        <v>3</v>
      </c>
    </row>
    <row r="399" spans="1:19" s="61" customFormat="1" ht="15.75" customHeight="1" x14ac:dyDescent="0.25">
      <c r="A399" s="434">
        <v>9</v>
      </c>
      <c r="B399" s="48" t="s">
        <v>94</v>
      </c>
      <c r="C399" s="48" t="s">
        <v>68</v>
      </c>
      <c r="D399" s="47" t="s">
        <v>36</v>
      </c>
      <c r="E399" s="47" t="s">
        <v>51</v>
      </c>
      <c r="F399" s="47" t="s">
        <v>17</v>
      </c>
      <c r="G399" s="47">
        <v>2</v>
      </c>
      <c r="H399" s="38"/>
      <c r="I399" s="47"/>
      <c r="J399" s="48" t="s">
        <v>454</v>
      </c>
      <c r="K399" s="48" t="s">
        <v>28</v>
      </c>
      <c r="L399" s="47" t="s">
        <v>17</v>
      </c>
      <c r="M399" s="48" t="s">
        <v>26</v>
      </c>
      <c r="N399" s="73"/>
      <c r="O399" s="362">
        <v>1</v>
      </c>
      <c r="P399" s="362"/>
      <c r="R399" s="223">
        <f t="shared" si="76"/>
        <v>2</v>
      </c>
      <c r="S399" s="155"/>
    </row>
    <row r="400" spans="1:19" s="61" customFormat="1" ht="15.75" customHeight="1" x14ac:dyDescent="0.25">
      <c r="A400" s="435"/>
      <c r="B400" s="48" t="s">
        <v>94</v>
      </c>
      <c r="C400" s="48" t="s">
        <v>68</v>
      </c>
      <c r="D400" s="47" t="s">
        <v>36</v>
      </c>
      <c r="E400" s="47" t="s">
        <v>51</v>
      </c>
      <c r="F400" s="47" t="s">
        <v>18</v>
      </c>
      <c r="G400" s="47"/>
      <c r="H400" s="47">
        <v>3</v>
      </c>
      <c r="I400" s="47"/>
      <c r="J400" s="48" t="s">
        <v>465</v>
      </c>
      <c r="K400" s="48" t="s">
        <v>82</v>
      </c>
      <c r="L400" s="47" t="s">
        <v>17</v>
      </c>
      <c r="M400" s="48" t="s">
        <v>26</v>
      </c>
      <c r="N400" s="73"/>
      <c r="O400" s="362"/>
      <c r="P400" s="362">
        <v>1</v>
      </c>
      <c r="R400" s="223"/>
      <c r="S400" s="155">
        <f t="shared" si="76"/>
        <v>3</v>
      </c>
    </row>
    <row r="401" spans="1:19" s="61" customFormat="1" ht="38.25" x14ac:dyDescent="0.25">
      <c r="A401" s="446">
        <v>10</v>
      </c>
      <c r="B401" s="48" t="s">
        <v>495</v>
      </c>
      <c r="C401" s="48" t="s">
        <v>68</v>
      </c>
      <c r="D401" s="47" t="s">
        <v>36</v>
      </c>
      <c r="E401" s="47" t="s">
        <v>51</v>
      </c>
      <c r="F401" s="47" t="s">
        <v>17</v>
      </c>
      <c r="G401" s="47">
        <v>2</v>
      </c>
      <c r="H401" s="38"/>
      <c r="I401" s="47"/>
      <c r="J401" s="48" t="s">
        <v>496</v>
      </c>
      <c r="K401" s="48" t="s">
        <v>28</v>
      </c>
      <c r="L401" s="47" t="s">
        <v>37</v>
      </c>
      <c r="M401" s="48" t="s">
        <v>87</v>
      </c>
      <c r="N401" s="73"/>
      <c r="O401" s="362">
        <v>1</v>
      </c>
      <c r="P401" s="362"/>
      <c r="R401" s="223">
        <f t="shared" si="76"/>
        <v>2</v>
      </c>
      <c r="S401" s="155"/>
    </row>
    <row r="402" spans="1:19" s="61" customFormat="1" ht="38.25" x14ac:dyDescent="0.25">
      <c r="A402" s="448"/>
      <c r="B402" s="48" t="s">
        <v>495</v>
      </c>
      <c r="C402" s="48" t="s">
        <v>68</v>
      </c>
      <c r="D402" s="47" t="s">
        <v>36</v>
      </c>
      <c r="E402" s="47" t="s">
        <v>51</v>
      </c>
      <c r="F402" s="47" t="s">
        <v>18</v>
      </c>
      <c r="G402" s="47"/>
      <c r="H402" s="47">
        <v>2</v>
      </c>
      <c r="I402" s="47"/>
      <c r="J402" s="251" t="s">
        <v>384</v>
      </c>
      <c r="K402" s="363" t="s">
        <v>324</v>
      </c>
      <c r="L402" s="47" t="s">
        <v>17</v>
      </c>
      <c r="M402" s="48" t="s">
        <v>26</v>
      </c>
      <c r="N402" s="73"/>
      <c r="O402" s="362"/>
      <c r="P402" s="362">
        <v>1</v>
      </c>
      <c r="R402" s="223"/>
      <c r="S402" s="155">
        <f t="shared" si="76"/>
        <v>2</v>
      </c>
    </row>
    <row r="403" spans="1:19" s="61" customFormat="1" x14ac:dyDescent="0.25">
      <c r="A403" s="434">
        <v>11</v>
      </c>
      <c r="B403" s="48" t="s">
        <v>78</v>
      </c>
      <c r="C403" s="48" t="s">
        <v>68</v>
      </c>
      <c r="D403" s="47" t="s">
        <v>76</v>
      </c>
      <c r="E403" s="214" t="s">
        <v>25</v>
      </c>
      <c r="F403" s="47" t="s">
        <v>17</v>
      </c>
      <c r="G403" s="47">
        <v>3</v>
      </c>
      <c r="H403" s="38"/>
      <c r="I403" s="47"/>
      <c r="J403" s="363" t="s">
        <v>452</v>
      </c>
      <c r="K403" s="427" t="s">
        <v>82</v>
      </c>
      <c r="L403" s="410" t="s">
        <v>37</v>
      </c>
      <c r="M403" s="427" t="s">
        <v>26</v>
      </c>
      <c r="N403" s="73"/>
      <c r="O403" s="362">
        <v>1</v>
      </c>
      <c r="P403" s="362"/>
      <c r="R403" s="223">
        <f t="shared" ref="R403" si="92">G403*O403</f>
        <v>3</v>
      </c>
      <c r="S403" s="155"/>
    </row>
    <row r="404" spans="1:19" s="61" customFormat="1" ht="25.5" x14ac:dyDescent="0.25">
      <c r="A404" s="435"/>
      <c r="B404" s="48" t="s">
        <v>78</v>
      </c>
      <c r="C404" s="48" t="s">
        <v>68</v>
      </c>
      <c r="D404" s="47" t="s">
        <v>76</v>
      </c>
      <c r="E404" s="214" t="s">
        <v>25</v>
      </c>
      <c r="F404" s="47" t="s">
        <v>18</v>
      </c>
      <c r="G404" s="47"/>
      <c r="H404" s="47">
        <v>2</v>
      </c>
      <c r="I404" s="47"/>
      <c r="J404" s="414" t="s">
        <v>566</v>
      </c>
      <c r="K404" s="412" t="s">
        <v>28</v>
      </c>
      <c r="L404" s="410" t="s">
        <v>37</v>
      </c>
      <c r="M404" s="412" t="s">
        <v>87</v>
      </c>
      <c r="N404" s="73"/>
      <c r="O404" s="362"/>
      <c r="P404" s="362">
        <v>1</v>
      </c>
      <c r="R404" s="223"/>
      <c r="S404" s="155">
        <f t="shared" ref="S404" si="93">H404*P404</f>
        <v>2</v>
      </c>
    </row>
    <row r="405" spans="1:19" s="61" customFormat="1" ht="15.75" customHeight="1" x14ac:dyDescent="0.25">
      <c r="A405" s="452">
        <v>12</v>
      </c>
      <c r="B405" s="48" t="s">
        <v>277</v>
      </c>
      <c r="C405" s="48" t="s">
        <v>68</v>
      </c>
      <c r="D405" s="47" t="s">
        <v>36</v>
      </c>
      <c r="E405" s="47" t="s">
        <v>51</v>
      </c>
      <c r="F405" s="47" t="s">
        <v>17</v>
      </c>
      <c r="G405" s="47">
        <v>2</v>
      </c>
      <c r="H405" s="47"/>
      <c r="I405" s="47"/>
      <c r="J405" s="55" t="s">
        <v>466</v>
      </c>
      <c r="K405" s="48" t="s">
        <v>564</v>
      </c>
      <c r="L405" s="73" t="s">
        <v>17</v>
      </c>
      <c r="M405" s="55" t="s">
        <v>26</v>
      </c>
      <c r="N405" s="73"/>
      <c r="O405" s="362">
        <v>1</v>
      </c>
      <c r="P405" s="362"/>
      <c r="R405" s="223">
        <f t="shared" ref="R405" si="94">G405*O405</f>
        <v>2</v>
      </c>
      <c r="S405" s="155"/>
    </row>
    <row r="406" spans="1:19" s="61" customFormat="1" ht="15.75" customHeight="1" x14ac:dyDescent="0.25">
      <c r="A406" s="448"/>
      <c r="B406" s="48" t="s">
        <v>277</v>
      </c>
      <c r="C406" s="48" t="s">
        <v>68</v>
      </c>
      <c r="D406" s="47" t="s">
        <v>36</v>
      </c>
      <c r="E406" s="47" t="s">
        <v>51</v>
      </c>
      <c r="F406" s="47" t="s">
        <v>18</v>
      </c>
      <c r="G406" s="47"/>
      <c r="H406" s="47">
        <v>1</v>
      </c>
      <c r="I406" s="47"/>
      <c r="J406" s="251" t="s">
        <v>323</v>
      </c>
      <c r="K406" s="48" t="s">
        <v>408</v>
      </c>
      <c r="L406" s="73" t="s">
        <v>17</v>
      </c>
      <c r="M406" s="55" t="s">
        <v>26</v>
      </c>
      <c r="N406" s="73"/>
      <c r="O406" s="362"/>
      <c r="P406" s="362">
        <v>1</v>
      </c>
      <c r="R406" s="223"/>
      <c r="S406" s="155">
        <f t="shared" ref="S406" si="95">H406*P406</f>
        <v>1</v>
      </c>
    </row>
    <row r="407" spans="1:19" s="61" customFormat="1" ht="15.75" customHeight="1" x14ac:dyDescent="0.25">
      <c r="A407" s="434">
        <v>12</v>
      </c>
      <c r="B407" s="48" t="s">
        <v>33</v>
      </c>
      <c r="C407" s="48" t="s">
        <v>68</v>
      </c>
      <c r="D407" s="47" t="s">
        <v>36</v>
      </c>
      <c r="E407" s="47" t="s">
        <v>51</v>
      </c>
      <c r="F407" s="47" t="s">
        <v>17</v>
      </c>
      <c r="G407" s="47">
        <v>1</v>
      </c>
      <c r="H407" s="38"/>
      <c r="I407" s="47"/>
      <c r="J407" s="251" t="s">
        <v>409</v>
      </c>
      <c r="K407" s="48" t="s">
        <v>43</v>
      </c>
      <c r="L407" s="331" t="s">
        <v>17</v>
      </c>
      <c r="M407" s="363" t="s">
        <v>26</v>
      </c>
      <c r="N407" s="73"/>
      <c r="O407" s="362">
        <v>0</v>
      </c>
      <c r="P407" s="362"/>
      <c r="R407" s="223">
        <f t="shared" si="76"/>
        <v>0</v>
      </c>
      <c r="S407" s="155"/>
    </row>
    <row r="408" spans="1:19" s="61" customFormat="1" ht="15.75" customHeight="1" x14ac:dyDescent="0.25">
      <c r="A408" s="435"/>
      <c r="B408" s="48" t="s">
        <v>33</v>
      </c>
      <c r="C408" s="48" t="s">
        <v>68</v>
      </c>
      <c r="D408" s="47" t="s">
        <v>36</v>
      </c>
      <c r="E408" s="47" t="s">
        <v>51</v>
      </c>
      <c r="F408" s="47" t="s">
        <v>18</v>
      </c>
      <c r="G408" s="47"/>
      <c r="H408" s="47">
        <v>2</v>
      </c>
      <c r="I408" s="47"/>
      <c r="J408" s="251" t="s">
        <v>409</v>
      </c>
      <c r="K408" s="48" t="s">
        <v>43</v>
      </c>
      <c r="L408" s="331" t="s">
        <v>17</v>
      </c>
      <c r="M408" s="363" t="s">
        <v>26</v>
      </c>
      <c r="N408" s="73"/>
      <c r="O408" s="362"/>
      <c r="P408" s="362">
        <v>0</v>
      </c>
      <c r="R408" s="223"/>
      <c r="S408" s="155">
        <f t="shared" si="76"/>
        <v>0</v>
      </c>
    </row>
    <row r="409" spans="1:19" s="61" customFormat="1" x14ac:dyDescent="0.25">
      <c r="A409" s="435"/>
      <c r="B409" s="363" t="s">
        <v>189</v>
      </c>
      <c r="C409" s="48" t="s">
        <v>68</v>
      </c>
      <c r="D409" s="47" t="s">
        <v>36</v>
      </c>
      <c r="E409" s="47" t="s">
        <v>51</v>
      </c>
      <c r="F409" s="47" t="s">
        <v>17</v>
      </c>
      <c r="G409" s="47">
        <v>1</v>
      </c>
      <c r="H409" s="38"/>
      <c r="I409" s="47"/>
      <c r="J409" s="251" t="s">
        <v>407</v>
      </c>
      <c r="K409" s="48" t="s">
        <v>43</v>
      </c>
      <c r="L409" s="331" t="s">
        <v>17</v>
      </c>
      <c r="M409" s="363" t="s">
        <v>26</v>
      </c>
      <c r="N409" s="73"/>
      <c r="O409" s="362">
        <v>1</v>
      </c>
      <c r="P409" s="362"/>
      <c r="R409" s="223">
        <f t="shared" ref="R409" si="96">G409*O409</f>
        <v>1</v>
      </c>
      <c r="S409" s="155"/>
    </row>
    <row r="410" spans="1:19" s="61" customFormat="1" x14ac:dyDescent="0.25">
      <c r="A410" s="435"/>
      <c r="B410" s="363" t="s">
        <v>189</v>
      </c>
      <c r="C410" s="48" t="s">
        <v>68</v>
      </c>
      <c r="D410" s="47" t="s">
        <v>36</v>
      </c>
      <c r="E410" s="47" t="s">
        <v>51</v>
      </c>
      <c r="F410" s="47" t="s">
        <v>18</v>
      </c>
      <c r="G410" s="47"/>
      <c r="H410" s="47">
        <v>2</v>
      </c>
      <c r="I410" s="47"/>
      <c r="J410" s="251" t="s">
        <v>407</v>
      </c>
      <c r="K410" s="48" t="s">
        <v>43</v>
      </c>
      <c r="L410" s="331" t="s">
        <v>17</v>
      </c>
      <c r="M410" s="363" t="s">
        <v>26</v>
      </c>
      <c r="N410" s="73"/>
      <c r="O410" s="362"/>
      <c r="P410" s="362">
        <v>1</v>
      </c>
      <c r="R410" s="223"/>
      <c r="S410" s="155">
        <f t="shared" ref="S410" si="97">H410*P410</f>
        <v>2</v>
      </c>
    </row>
    <row r="411" spans="1:19" s="61" customFormat="1" x14ac:dyDescent="0.25">
      <c r="A411" s="435"/>
      <c r="B411" s="48" t="s">
        <v>278</v>
      </c>
      <c r="C411" s="48" t="s">
        <v>68</v>
      </c>
      <c r="D411" s="47" t="s">
        <v>36</v>
      </c>
      <c r="E411" s="47" t="s">
        <v>51</v>
      </c>
      <c r="F411" s="47" t="s">
        <v>17</v>
      </c>
      <c r="G411" s="47">
        <v>1</v>
      </c>
      <c r="H411" s="38"/>
      <c r="I411" s="47"/>
      <c r="J411" s="48" t="s">
        <v>447</v>
      </c>
      <c r="K411" s="251" t="s">
        <v>28</v>
      </c>
      <c r="L411" s="47" t="s">
        <v>17</v>
      </c>
      <c r="M411" s="48" t="s">
        <v>26</v>
      </c>
      <c r="N411" s="73"/>
      <c r="O411" s="362">
        <v>1</v>
      </c>
      <c r="P411" s="362"/>
      <c r="R411" s="223">
        <f t="shared" ref="R411" si="98">G411*O411</f>
        <v>1</v>
      </c>
      <c r="S411" s="155"/>
    </row>
    <row r="412" spans="1:19" s="61" customFormat="1" ht="15.75" customHeight="1" x14ac:dyDescent="0.25">
      <c r="A412" s="435"/>
      <c r="B412" s="48" t="s">
        <v>278</v>
      </c>
      <c r="C412" s="48" t="s">
        <v>68</v>
      </c>
      <c r="D412" s="47" t="s">
        <v>36</v>
      </c>
      <c r="E412" s="47" t="s">
        <v>51</v>
      </c>
      <c r="F412" s="47" t="s">
        <v>18</v>
      </c>
      <c r="G412" s="47"/>
      <c r="H412" s="47">
        <v>2</v>
      </c>
      <c r="I412" s="47"/>
      <c r="J412" s="48" t="s">
        <v>447</v>
      </c>
      <c r="K412" s="251" t="s">
        <v>28</v>
      </c>
      <c r="L412" s="367" t="s">
        <v>17</v>
      </c>
      <c r="M412" s="48" t="s">
        <v>26</v>
      </c>
      <c r="N412" s="73"/>
      <c r="O412" s="362"/>
      <c r="P412" s="362">
        <v>1</v>
      </c>
      <c r="R412" s="223"/>
      <c r="S412" s="155">
        <f t="shared" ref="S412" si="99">H412*P412</f>
        <v>2</v>
      </c>
    </row>
    <row r="413" spans="1:19" s="61" customFormat="1" ht="15.75" customHeight="1" x14ac:dyDescent="0.25">
      <c r="A413" s="435"/>
      <c r="B413" s="363" t="s">
        <v>497</v>
      </c>
      <c r="C413" s="48" t="s">
        <v>68</v>
      </c>
      <c r="D413" s="47" t="s">
        <v>36</v>
      </c>
      <c r="E413" s="47" t="s">
        <v>51</v>
      </c>
      <c r="F413" s="47" t="s">
        <v>17</v>
      </c>
      <c r="G413" s="47">
        <v>1</v>
      </c>
      <c r="H413" s="38"/>
      <c r="I413" s="47"/>
      <c r="J413" s="55" t="s">
        <v>451</v>
      </c>
      <c r="K413" s="298" t="s">
        <v>28</v>
      </c>
      <c r="L413" s="73" t="s">
        <v>17</v>
      </c>
      <c r="M413" s="55" t="s">
        <v>26</v>
      </c>
      <c r="N413" s="73"/>
      <c r="O413" s="362">
        <v>0</v>
      </c>
      <c r="P413" s="362"/>
      <c r="R413" s="223">
        <f t="shared" ref="R413" si="100">G413*O413</f>
        <v>0</v>
      </c>
      <c r="S413" s="155"/>
    </row>
    <row r="414" spans="1:19" s="61" customFormat="1" ht="15.75" customHeight="1" x14ac:dyDescent="0.25">
      <c r="A414" s="435"/>
      <c r="B414" s="363" t="s">
        <v>497</v>
      </c>
      <c r="C414" s="48" t="s">
        <v>68</v>
      </c>
      <c r="D414" s="47" t="s">
        <v>36</v>
      </c>
      <c r="E414" s="47" t="s">
        <v>51</v>
      </c>
      <c r="F414" s="47" t="s">
        <v>18</v>
      </c>
      <c r="G414" s="47"/>
      <c r="H414" s="47">
        <v>2</v>
      </c>
      <c r="I414" s="47"/>
      <c r="J414" s="55" t="s">
        <v>451</v>
      </c>
      <c r="K414" s="251" t="s">
        <v>28</v>
      </c>
      <c r="L414" s="122" t="s">
        <v>17</v>
      </c>
      <c r="M414" s="251" t="s">
        <v>26</v>
      </c>
      <c r="N414" s="73"/>
      <c r="O414" s="362"/>
      <c r="P414" s="362">
        <v>0</v>
      </c>
      <c r="R414" s="223"/>
      <c r="S414" s="155">
        <f t="shared" ref="S414" si="101">H414*P414</f>
        <v>0</v>
      </c>
    </row>
    <row r="415" spans="1:19" s="61" customFormat="1" ht="15.75" customHeight="1" x14ac:dyDescent="0.25">
      <c r="A415" s="435"/>
      <c r="B415" s="48" t="s">
        <v>431</v>
      </c>
      <c r="C415" s="48" t="s">
        <v>68</v>
      </c>
      <c r="D415" s="47" t="s">
        <v>36</v>
      </c>
      <c r="E415" s="47" t="s">
        <v>51</v>
      </c>
      <c r="F415" s="47" t="s">
        <v>17</v>
      </c>
      <c r="G415" s="47">
        <v>1</v>
      </c>
      <c r="H415" s="38"/>
      <c r="I415" s="47"/>
      <c r="J415" s="48" t="s">
        <v>467</v>
      </c>
      <c r="K415" s="251" t="s">
        <v>28</v>
      </c>
      <c r="L415" s="331" t="s">
        <v>17</v>
      </c>
      <c r="M415" s="363" t="s">
        <v>26</v>
      </c>
      <c r="N415" s="73"/>
      <c r="O415" s="362">
        <v>1</v>
      </c>
      <c r="P415" s="362"/>
      <c r="R415" s="223">
        <f t="shared" ref="R415" si="102">G415*O415</f>
        <v>1</v>
      </c>
      <c r="S415" s="155"/>
    </row>
    <row r="416" spans="1:19" s="61" customFormat="1" ht="15.75" customHeight="1" x14ac:dyDescent="0.25">
      <c r="A416" s="435"/>
      <c r="B416" s="48" t="s">
        <v>431</v>
      </c>
      <c r="C416" s="48" t="s">
        <v>68</v>
      </c>
      <c r="D416" s="47" t="s">
        <v>36</v>
      </c>
      <c r="E416" s="47" t="s">
        <v>51</v>
      </c>
      <c r="F416" s="47" t="s">
        <v>18</v>
      </c>
      <c r="G416" s="47"/>
      <c r="H416" s="47">
        <v>2</v>
      </c>
      <c r="I416" s="47"/>
      <c r="J416" s="48" t="s">
        <v>467</v>
      </c>
      <c r="K416" s="251" t="s">
        <v>28</v>
      </c>
      <c r="L416" s="331" t="s">
        <v>17</v>
      </c>
      <c r="M416" s="363" t="s">
        <v>26</v>
      </c>
      <c r="N416" s="73"/>
      <c r="O416" s="362"/>
      <c r="P416" s="362">
        <v>1</v>
      </c>
      <c r="R416" s="223"/>
      <c r="S416" s="155">
        <f t="shared" ref="S416" si="103">H416*P416</f>
        <v>2</v>
      </c>
    </row>
    <row r="417" spans="1:19" s="61" customFormat="1" ht="15.75" customHeight="1" x14ac:dyDescent="0.25">
      <c r="A417" s="434">
        <v>13</v>
      </c>
      <c r="B417" s="48" t="s">
        <v>96</v>
      </c>
      <c r="C417" s="48" t="s">
        <v>68</v>
      </c>
      <c r="D417" s="47" t="s">
        <v>46</v>
      </c>
      <c r="E417" s="47" t="s">
        <v>51</v>
      </c>
      <c r="F417" s="47" t="s">
        <v>17</v>
      </c>
      <c r="G417" s="47">
        <v>3</v>
      </c>
      <c r="H417" s="38"/>
      <c r="I417" s="47"/>
      <c r="J417" s="55" t="s">
        <v>451</v>
      </c>
      <c r="K417" s="298" t="s">
        <v>28</v>
      </c>
      <c r="L417" s="73" t="s">
        <v>17</v>
      </c>
      <c r="M417" s="55" t="s">
        <v>26</v>
      </c>
      <c r="N417" s="73"/>
      <c r="O417" s="362">
        <v>1</v>
      </c>
      <c r="P417" s="362"/>
      <c r="R417" s="223">
        <f t="shared" si="76"/>
        <v>3</v>
      </c>
      <c r="S417" s="155"/>
    </row>
    <row r="418" spans="1:19" ht="26.25" customHeight="1" x14ac:dyDescent="0.25">
      <c r="A418" s="435"/>
      <c r="B418" s="48" t="s">
        <v>96</v>
      </c>
      <c r="C418" s="48" t="s">
        <v>68</v>
      </c>
      <c r="D418" s="47" t="s">
        <v>46</v>
      </c>
      <c r="E418" s="47" t="s">
        <v>51</v>
      </c>
      <c r="F418" s="47" t="s">
        <v>18</v>
      </c>
      <c r="G418" s="47"/>
      <c r="H418" s="47">
        <v>5</v>
      </c>
      <c r="I418" s="47"/>
      <c r="J418" s="55" t="s">
        <v>551</v>
      </c>
      <c r="K418" s="48" t="s">
        <v>195</v>
      </c>
      <c r="L418" s="122" t="s">
        <v>17</v>
      </c>
      <c r="M418" s="251" t="s">
        <v>26</v>
      </c>
      <c r="N418" s="73"/>
      <c r="O418" s="362"/>
      <c r="P418" s="362">
        <v>1</v>
      </c>
      <c r="Q418" s="61"/>
      <c r="R418" s="223"/>
      <c r="S418" s="155">
        <f t="shared" si="76"/>
        <v>5</v>
      </c>
    </row>
    <row r="419" spans="1:19" ht="26.25" customHeight="1" x14ac:dyDescent="0.25">
      <c r="A419" s="434">
        <v>14</v>
      </c>
      <c r="B419" s="48" t="s">
        <v>498</v>
      </c>
      <c r="C419" s="48" t="s">
        <v>68</v>
      </c>
      <c r="D419" s="47" t="s">
        <v>46</v>
      </c>
      <c r="E419" s="47" t="s">
        <v>51</v>
      </c>
      <c r="F419" s="47" t="s">
        <v>17</v>
      </c>
      <c r="G419" s="47">
        <v>3</v>
      </c>
      <c r="H419" s="38"/>
      <c r="I419" s="47"/>
      <c r="J419" s="363" t="s">
        <v>459</v>
      </c>
      <c r="K419" s="48" t="s">
        <v>82</v>
      </c>
      <c r="L419" s="331" t="s">
        <v>17</v>
      </c>
      <c r="M419" s="363" t="s">
        <v>26</v>
      </c>
      <c r="N419" s="73"/>
      <c r="O419" s="362">
        <v>1</v>
      </c>
      <c r="P419" s="362"/>
      <c r="Q419" s="61"/>
      <c r="R419" s="223">
        <f t="shared" si="76"/>
        <v>3</v>
      </c>
      <c r="S419" s="155"/>
    </row>
    <row r="420" spans="1:19" ht="26.25" customHeight="1" x14ac:dyDescent="0.25">
      <c r="A420" s="435"/>
      <c r="B420" s="48" t="s">
        <v>498</v>
      </c>
      <c r="C420" s="48" t="s">
        <v>68</v>
      </c>
      <c r="D420" s="47" t="s">
        <v>46</v>
      </c>
      <c r="E420" s="47" t="s">
        <v>51</v>
      </c>
      <c r="F420" s="47" t="s">
        <v>18</v>
      </c>
      <c r="G420" s="47"/>
      <c r="H420" s="47">
        <v>4</v>
      </c>
      <c r="I420" s="47"/>
      <c r="J420" s="363" t="s">
        <v>410</v>
      </c>
      <c r="K420" s="48" t="s">
        <v>43</v>
      </c>
      <c r="L420" s="331" t="s">
        <v>17</v>
      </c>
      <c r="M420" s="363" t="s">
        <v>26</v>
      </c>
      <c r="N420" s="73"/>
      <c r="O420" s="362"/>
      <c r="P420" s="362">
        <v>1</v>
      </c>
      <c r="Q420" s="61"/>
      <c r="R420" s="223"/>
      <c r="S420" s="155">
        <f t="shared" si="76"/>
        <v>4</v>
      </c>
    </row>
    <row r="421" spans="1:19" ht="25.5" x14ac:dyDescent="0.25">
      <c r="A421" s="434">
        <v>15</v>
      </c>
      <c r="B421" s="48" t="s">
        <v>97</v>
      </c>
      <c r="C421" s="48" t="s">
        <v>68</v>
      </c>
      <c r="D421" s="47" t="s">
        <v>46</v>
      </c>
      <c r="E421" s="47" t="s">
        <v>51</v>
      </c>
      <c r="F421" s="47" t="s">
        <v>17</v>
      </c>
      <c r="G421" s="47">
        <v>2</v>
      </c>
      <c r="H421" s="38"/>
      <c r="I421" s="47"/>
      <c r="J421" s="365" t="s">
        <v>477</v>
      </c>
      <c r="K421" s="48" t="s">
        <v>82</v>
      </c>
      <c r="L421" s="73" t="s">
        <v>17</v>
      </c>
      <c r="M421" s="74" t="s">
        <v>26</v>
      </c>
      <c r="N421" s="73"/>
      <c r="O421" s="362">
        <v>1</v>
      </c>
      <c r="P421" s="362"/>
      <c r="Q421" s="61"/>
      <c r="R421" s="223">
        <f t="shared" si="76"/>
        <v>2</v>
      </c>
      <c r="S421" s="155"/>
    </row>
    <row r="422" spans="1:19" ht="26.25" customHeight="1" x14ac:dyDescent="0.25">
      <c r="A422" s="435"/>
      <c r="B422" s="48" t="s">
        <v>97</v>
      </c>
      <c r="C422" s="48" t="s">
        <v>68</v>
      </c>
      <c r="D422" s="47" t="s">
        <v>46</v>
      </c>
      <c r="E422" s="47" t="s">
        <v>51</v>
      </c>
      <c r="F422" s="47" t="s">
        <v>18</v>
      </c>
      <c r="G422" s="47"/>
      <c r="H422" s="47">
        <v>3</v>
      </c>
      <c r="I422" s="47"/>
      <c r="J422" s="365" t="s">
        <v>477</v>
      </c>
      <c r="K422" s="48" t="s">
        <v>82</v>
      </c>
      <c r="L422" s="73" t="s">
        <v>17</v>
      </c>
      <c r="M422" s="74" t="s">
        <v>26</v>
      </c>
      <c r="N422" s="73"/>
      <c r="O422" s="362"/>
      <c r="P422" s="362">
        <v>1</v>
      </c>
      <c r="Q422" s="61"/>
      <c r="R422" s="223"/>
      <c r="S422" s="155">
        <f t="shared" si="76"/>
        <v>3</v>
      </c>
    </row>
    <row r="423" spans="1:19" s="61" customFormat="1" x14ac:dyDescent="0.25">
      <c r="A423" s="434">
        <v>16</v>
      </c>
      <c r="B423" s="48" t="s">
        <v>45</v>
      </c>
      <c r="C423" s="48" t="s">
        <v>68</v>
      </c>
      <c r="D423" s="47" t="s">
        <v>81</v>
      </c>
      <c r="E423" s="47" t="s">
        <v>51</v>
      </c>
      <c r="F423" s="47" t="s">
        <v>17</v>
      </c>
      <c r="G423" s="27">
        <v>2</v>
      </c>
      <c r="H423" s="38"/>
      <c r="I423" s="27"/>
      <c r="J423" s="48" t="s">
        <v>454</v>
      </c>
      <c r="K423" s="48" t="s">
        <v>28</v>
      </c>
      <c r="L423" s="47" t="s">
        <v>17</v>
      </c>
      <c r="M423" s="48" t="s">
        <v>26</v>
      </c>
      <c r="N423" s="73"/>
      <c r="O423" s="362">
        <v>1</v>
      </c>
      <c r="P423" s="362"/>
      <c r="R423" s="223">
        <f t="shared" si="76"/>
        <v>2</v>
      </c>
      <c r="S423" s="155"/>
    </row>
    <row r="424" spans="1:19" s="61" customFormat="1" x14ac:dyDescent="0.25">
      <c r="A424" s="435"/>
      <c r="B424" s="48" t="s">
        <v>45</v>
      </c>
      <c r="C424" s="48" t="s">
        <v>68</v>
      </c>
      <c r="D424" s="47" t="s">
        <v>81</v>
      </c>
      <c r="E424" s="47" t="s">
        <v>51</v>
      </c>
      <c r="F424" s="47" t="s">
        <v>18</v>
      </c>
      <c r="G424" s="27"/>
      <c r="H424" s="27">
        <v>2</v>
      </c>
      <c r="I424" s="27"/>
      <c r="J424" s="251" t="s">
        <v>446</v>
      </c>
      <c r="K424" s="251" t="s">
        <v>82</v>
      </c>
      <c r="L424" s="331" t="s">
        <v>17</v>
      </c>
      <c r="M424" s="363" t="s">
        <v>26</v>
      </c>
      <c r="N424" s="73"/>
      <c r="O424" s="362"/>
      <c r="P424" s="362">
        <v>1</v>
      </c>
      <c r="R424" s="223"/>
      <c r="S424" s="155">
        <f t="shared" si="76"/>
        <v>2</v>
      </c>
    </row>
    <row r="425" spans="1:19" s="61" customFormat="1" ht="25.5" x14ac:dyDescent="0.25">
      <c r="A425" s="452">
        <v>17</v>
      </c>
      <c r="B425" s="48" t="s">
        <v>438</v>
      </c>
      <c r="C425" s="48" t="s">
        <v>68</v>
      </c>
      <c r="D425" s="47" t="s">
        <v>46</v>
      </c>
      <c r="E425" s="331" t="s">
        <v>51</v>
      </c>
      <c r="F425" s="47" t="s">
        <v>17</v>
      </c>
      <c r="G425" s="47">
        <v>3</v>
      </c>
      <c r="H425" s="38"/>
      <c r="I425" s="47"/>
      <c r="J425" s="251" t="s">
        <v>547</v>
      </c>
      <c r="K425" s="363" t="s">
        <v>43</v>
      </c>
      <c r="L425" s="331" t="s">
        <v>37</v>
      </c>
      <c r="M425" s="48"/>
      <c r="N425" s="73"/>
      <c r="O425" s="362">
        <v>1</v>
      </c>
      <c r="P425" s="362"/>
      <c r="R425" s="223">
        <f t="shared" ref="R425" si="104">G425*O425</f>
        <v>3</v>
      </c>
      <c r="S425" s="155"/>
    </row>
    <row r="426" spans="1:19" s="61" customFormat="1" ht="25.5" x14ac:dyDescent="0.25">
      <c r="A426" s="448"/>
      <c r="B426" s="48" t="s">
        <v>438</v>
      </c>
      <c r="C426" s="48" t="s">
        <v>68</v>
      </c>
      <c r="D426" s="47" t="s">
        <v>46</v>
      </c>
      <c r="E426" s="331" t="s">
        <v>51</v>
      </c>
      <c r="F426" s="47" t="s">
        <v>18</v>
      </c>
      <c r="G426" s="47"/>
      <c r="H426" s="47">
        <v>2</v>
      </c>
      <c r="I426" s="47"/>
      <c r="J426" s="251" t="s">
        <v>547</v>
      </c>
      <c r="K426" s="414" t="s">
        <v>43</v>
      </c>
      <c r="L426" s="331" t="s">
        <v>37</v>
      </c>
      <c r="M426" s="251"/>
      <c r="N426" s="73"/>
      <c r="O426" s="362"/>
      <c r="P426" s="362">
        <v>1</v>
      </c>
      <c r="R426" s="223"/>
      <c r="S426" s="155">
        <f t="shared" ref="S426" si="105">H426*P426</f>
        <v>2</v>
      </c>
    </row>
    <row r="427" spans="1:19" s="62" customFormat="1" ht="25.5" x14ac:dyDescent="0.25">
      <c r="A427" s="386"/>
      <c r="B427" s="363" t="s">
        <v>61</v>
      </c>
      <c r="C427" s="363" t="s">
        <v>68</v>
      </c>
      <c r="D427" s="331" t="s">
        <v>46</v>
      </c>
      <c r="E427" s="331" t="s">
        <v>51</v>
      </c>
      <c r="F427" s="331" t="s">
        <v>17</v>
      </c>
      <c r="G427" s="331">
        <v>2</v>
      </c>
      <c r="H427" s="156"/>
      <c r="I427" s="331"/>
      <c r="J427" s="251" t="s">
        <v>568</v>
      </c>
      <c r="K427" s="251" t="s">
        <v>43</v>
      </c>
      <c r="L427" s="376" t="s">
        <v>17</v>
      </c>
      <c r="M427" s="48" t="s">
        <v>26</v>
      </c>
      <c r="N427" s="122"/>
      <c r="O427" s="154">
        <v>1</v>
      </c>
      <c r="P427" s="154"/>
      <c r="R427" s="223">
        <f t="shared" ref="R427" si="106">G427*O427</f>
        <v>2</v>
      </c>
      <c r="S427" s="155"/>
    </row>
    <row r="428" spans="1:19" s="62" customFormat="1" ht="25.5" x14ac:dyDescent="0.25">
      <c r="A428" s="386"/>
      <c r="B428" s="363" t="s">
        <v>61</v>
      </c>
      <c r="C428" s="363" t="s">
        <v>68</v>
      </c>
      <c r="D428" s="331" t="s">
        <v>46</v>
      </c>
      <c r="E428" s="331" t="s">
        <v>51</v>
      </c>
      <c r="F428" s="331" t="s">
        <v>18</v>
      </c>
      <c r="G428" s="331"/>
      <c r="H428" s="331">
        <v>1</v>
      </c>
      <c r="I428" s="331"/>
      <c r="J428" s="251" t="s">
        <v>568</v>
      </c>
      <c r="K428" s="251" t="s">
        <v>43</v>
      </c>
      <c r="L428" s="376" t="s">
        <v>17</v>
      </c>
      <c r="M428" s="48" t="s">
        <v>26</v>
      </c>
      <c r="N428" s="122"/>
      <c r="O428" s="154"/>
      <c r="P428" s="154">
        <v>1</v>
      </c>
      <c r="R428" s="223"/>
      <c r="S428" s="155">
        <f t="shared" ref="S428" si="107">H428*P428</f>
        <v>1</v>
      </c>
    </row>
    <row r="429" spans="1:19" s="61" customFormat="1" x14ac:dyDescent="0.25">
      <c r="A429" s="446">
        <v>18</v>
      </c>
      <c r="B429" s="48" t="s">
        <v>430</v>
      </c>
      <c r="C429" s="48" t="s">
        <v>68</v>
      </c>
      <c r="D429" s="47" t="s">
        <v>46</v>
      </c>
      <c r="E429" s="214" t="s">
        <v>25</v>
      </c>
      <c r="F429" s="47" t="s">
        <v>17</v>
      </c>
      <c r="G429" s="47">
        <v>1</v>
      </c>
      <c r="H429" s="38"/>
      <c r="I429" s="47"/>
      <c r="J429" s="133" t="s">
        <v>450</v>
      </c>
      <c r="K429" s="48" t="s">
        <v>564</v>
      </c>
      <c r="L429" s="47" t="s">
        <v>17</v>
      </c>
      <c r="M429" s="359" t="s">
        <v>26</v>
      </c>
      <c r="N429" s="73"/>
      <c r="O429" s="362">
        <v>0</v>
      </c>
      <c r="P429" s="362"/>
      <c r="R429" s="223">
        <f t="shared" ref="R429" si="108">G429*O429</f>
        <v>0</v>
      </c>
      <c r="S429" s="155"/>
    </row>
    <row r="430" spans="1:19" s="61" customFormat="1" x14ac:dyDescent="0.25">
      <c r="A430" s="447"/>
      <c r="B430" s="48" t="s">
        <v>430</v>
      </c>
      <c r="C430" s="48" t="s">
        <v>68</v>
      </c>
      <c r="D430" s="47" t="s">
        <v>46</v>
      </c>
      <c r="E430" s="214" t="s">
        <v>25</v>
      </c>
      <c r="F430" s="47" t="s">
        <v>18</v>
      </c>
      <c r="G430" s="47"/>
      <c r="H430" s="47">
        <v>2</v>
      </c>
      <c r="I430" s="47"/>
      <c r="J430" s="133" t="s">
        <v>450</v>
      </c>
      <c r="K430" s="48" t="s">
        <v>564</v>
      </c>
      <c r="L430" s="47" t="s">
        <v>17</v>
      </c>
      <c r="M430" s="359" t="s">
        <v>26</v>
      </c>
      <c r="N430" s="73"/>
      <c r="O430" s="362"/>
      <c r="P430" s="362">
        <v>0</v>
      </c>
      <c r="R430" s="223"/>
      <c r="S430" s="155">
        <f t="shared" ref="S430" si="109">H430*P430</f>
        <v>0</v>
      </c>
    </row>
    <row r="431" spans="1:19" s="61" customFormat="1" ht="15.75" customHeight="1" x14ac:dyDescent="0.25">
      <c r="A431" s="447"/>
      <c r="B431" s="48" t="s">
        <v>44</v>
      </c>
      <c r="C431" s="48" t="s">
        <v>68</v>
      </c>
      <c r="D431" s="47" t="s">
        <v>46</v>
      </c>
      <c r="E431" s="47" t="s">
        <v>51</v>
      </c>
      <c r="F431" s="47" t="s">
        <v>17</v>
      </c>
      <c r="G431" s="47">
        <v>2</v>
      </c>
      <c r="H431" s="38"/>
      <c r="I431" s="47"/>
      <c r="J431" s="48" t="s">
        <v>465</v>
      </c>
      <c r="K431" s="48" t="s">
        <v>82</v>
      </c>
      <c r="L431" s="47" t="s">
        <v>17</v>
      </c>
      <c r="M431" s="48" t="s">
        <v>26</v>
      </c>
      <c r="N431" s="73"/>
      <c r="O431" s="362">
        <v>1</v>
      </c>
      <c r="P431" s="362"/>
      <c r="R431" s="223">
        <f t="shared" si="76"/>
        <v>2</v>
      </c>
      <c r="S431" s="155"/>
    </row>
    <row r="432" spans="1:19" s="61" customFormat="1" ht="15.75" customHeight="1" x14ac:dyDescent="0.25">
      <c r="A432" s="447"/>
      <c r="B432" s="48" t="s">
        <v>44</v>
      </c>
      <c r="C432" s="48" t="s">
        <v>68</v>
      </c>
      <c r="D432" s="47" t="s">
        <v>46</v>
      </c>
      <c r="E432" s="47" t="s">
        <v>51</v>
      </c>
      <c r="F432" s="47" t="s">
        <v>18</v>
      </c>
      <c r="G432" s="47"/>
      <c r="H432" s="47">
        <v>1</v>
      </c>
      <c r="I432" s="47"/>
      <c r="J432" s="48" t="s">
        <v>465</v>
      </c>
      <c r="K432" s="48" t="s">
        <v>82</v>
      </c>
      <c r="L432" s="47" t="s">
        <v>17</v>
      </c>
      <c r="M432" s="48" t="s">
        <v>26</v>
      </c>
      <c r="N432" s="73"/>
      <c r="O432" s="362"/>
      <c r="P432" s="362">
        <v>1</v>
      </c>
      <c r="R432" s="223"/>
      <c r="S432" s="155">
        <f t="shared" si="76"/>
        <v>1</v>
      </c>
    </row>
    <row r="433" spans="1:19" s="61" customFormat="1" ht="15.75" customHeight="1" x14ac:dyDescent="0.25">
      <c r="A433" s="447"/>
      <c r="B433" s="48" t="s">
        <v>302</v>
      </c>
      <c r="C433" s="48" t="s">
        <v>68</v>
      </c>
      <c r="D433" s="47" t="s">
        <v>46</v>
      </c>
      <c r="E433" s="47" t="s">
        <v>51</v>
      </c>
      <c r="F433" s="47" t="s">
        <v>17</v>
      </c>
      <c r="G433" s="47">
        <v>2</v>
      </c>
      <c r="H433" s="38"/>
      <c r="I433" s="47"/>
      <c r="J433" s="363" t="s">
        <v>457</v>
      </c>
      <c r="K433" s="363" t="s">
        <v>43</v>
      </c>
      <c r="L433" s="47" t="s">
        <v>17</v>
      </c>
      <c r="M433" s="48" t="s">
        <v>26</v>
      </c>
      <c r="N433" s="73"/>
      <c r="O433" s="362">
        <v>1</v>
      </c>
      <c r="P433" s="362"/>
      <c r="R433" s="223">
        <f t="shared" ref="R433" si="110">G433*O433</f>
        <v>2</v>
      </c>
      <c r="S433" s="155"/>
    </row>
    <row r="434" spans="1:19" s="61" customFormat="1" ht="15.75" customHeight="1" x14ac:dyDescent="0.25">
      <c r="A434" s="447"/>
      <c r="B434" s="48" t="s">
        <v>302</v>
      </c>
      <c r="C434" s="48" t="s">
        <v>68</v>
      </c>
      <c r="D434" s="47" t="s">
        <v>46</v>
      </c>
      <c r="E434" s="47" t="s">
        <v>51</v>
      </c>
      <c r="F434" s="47" t="s">
        <v>18</v>
      </c>
      <c r="G434" s="47"/>
      <c r="H434" s="47">
        <v>1</v>
      </c>
      <c r="I434" s="47"/>
      <c r="J434" s="363" t="s">
        <v>457</v>
      </c>
      <c r="K434" s="363" t="s">
        <v>43</v>
      </c>
      <c r="L434" s="331" t="s">
        <v>17</v>
      </c>
      <c r="M434" s="363" t="s">
        <v>26</v>
      </c>
      <c r="N434" s="73"/>
      <c r="O434" s="362"/>
      <c r="P434" s="362">
        <v>1</v>
      </c>
      <c r="R434" s="223"/>
      <c r="S434" s="155">
        <f t="shared" ref="S434" si="111">H434*P434</f>
        <v>1</v>
      </c>
    </row>
    <row r="435" spans="1:19" s="61" customFormat="1" ht="15.75" customHeight="1" x14ac:dyDescent="0.25">
      <c r="A435" s="447"/>
      <c r="B435" s="48" t="s">
        <v>499</v>
      </c>
      <c r="C435" s="48" t="s">
        <v>68</v>
      </c>
      <c r="D435" s="47" t="s">
        <v>46</v>
      </c>
      <c r="E435" s="47" t="s">
        <v>51</v>
      </c>
      <c r="F435" s="47" t="s">
        <v>17</v>
      </c>
      <c r="G435" s="47">
        <v>2</v>
      </c>
      <c r="H435" s="38"/>
      <c r="I435" s="47"/>
      <c r="J435" s="48" t="s">
        <v>461</v>
      </c>
      <c r="K435" s="48" t="s">
        <v>82</v>
      </c>
      <c r="L435" s="47" t="s">
        <v>17</v>
      </c>
      <c r="M435" s="48" t="s">
        <v>26</v>
      </c>
      <c r="N435" s="73"/>
      <c r="O435" s="362">
        <v>1</v>
      </c>
      <c r="P435" s="362"/>
      <c r="R435" s="223">
        <f t="shared" ref="R435" si="112">G435*O435</f>
        <v>2</v>
      </c>
      <c r="S435" s="155"/>
    </row>
    <row r="436" spans="1:19" s="61" customFormat="1" ht="15.75" customHeight="1" x14ac:dyDescent="0.25">
      <c r="A436" s="447"/>
      <c r="B436" s="48" t="s">
        <v>499</v>
      </c>
      <c r="C436" s="48" t="s">
        <v>68</v>
      </c>
      <c r="D436" s="47" t="s">
        <v>46</v>
      </c>
      <c r="E436" s="47" t="s">
        <v>51</v>
      </c>
      <c r="F436" s="47" t="s">
        <v>18</v>
      </c>
      <c r="G436" s="47"/>
      <c r="H436" s="47">
        <v>1</v>
      </c>
      <c r="I436" s="47"/>
      <c r="J436" s="48" t="s">
        <v>461</v>
      </c>
      <c r="K436" s="48" t="s">
        <v>82</v>
      </c>
      <c r="L436" s="47" t="s">
        <v>17</v>
      </c>
      <c r="M436" s="48" t="s">
        <v>26</v>
      </c>
      <c r="N436" s="73"/>
      <c r="O436" s="362"/>
      <c r="P436" s="362">
        <v>1</v>
      </c>
      <c r="R436" s="223"/>
      <c r="S436" s="155">
        <f t="shared" ref="S436" si="113">H436*P436</f>
        <v>1</v>
      </c>
    </row>
    <row r="437" spans="1:19" s="61" customFormat="1" x14ac:dyDescent="0.25">
      <c r="A437" s="447"/>
      <c r="B437" s="48" t="s">
        <v>474</v>
      </c>
      <c r="C437" s="48" t="s">
        <v>68</v>
      </c>
      <c r="D437" s="47" t="s">
        <v>46</v>
      </c>
      <c r="E437" s="47" t="s">
        <v>51</v>
      </c>
      <c r="F437" s="47" t="s">
        <v>17</v>
      </c>
      <c r="G437" s="47">
        <v>1</v>
      </c>
      <c r="H437" s="38"/>
      <c r="I437" s="47"/>
      <c r="J437" s="251" t="s">
        <v>466</v>
      </c>
      <c r="K437" s="48" t="s">
        <v>564</v>
      </c>
      <c r="L437" s="73" t="s">
        <v>17</v>
      </c>
      <c r="M437" s="55" t="s">
        <v>26</v>
      </c>
      <c r="N437" s="73"/>
      <c r="O437" s="362">
        <v>1</v>
      </c>
      <c r="P437" s="362"/>
      <c r="R437" s="223">
        <f t="shared" ref="R437" si="114">G437*O437</f>
        <v>1</v>
      </c>
      <c r="S437" s="155"/>
    </row>
    <row r="438" spans="1:19" s="61" customFormat="1" x14ac:dyDescent="0.25">
      <c r="A438" s="447"/>
      <c r="B438" s="48" t="s">
        <v>474</v>
      </c>
      <c r="C438" s="48" t="s">
        <v>68</v>
      </c>
      <c r="D438" s="47" t="s">
        <v>46</v>
      </c>
      <c r="E438" s="47" t="s">
        <v>51</v>
      </c>
      <c r="F438" s="47" t="s">
        <v>17</v>
      </c>
      <c r="G438" s="47">
        <v>1</v>
      </c>
      <c r="H438" s="38"/>
      <c r="I438" s="47"/>
      <c r="J438" s="251" t="s">
        <v>456</v>
      </c>
      <c r="K438" s="48" t="s">
        <v>28</v>
      </c>
      <c r="L438" s="73" t="s">
        <v>567</v>
      </c>
      <c r="M438" s="55"/>
      <c r="N438" s="73"/>
      <c r="O438" s="362">
        <v>1</v>
      </c>
      <c r="P438" s="362"/>
      <c r="R438" s="223">
        <f t="shared" ref="R438" si="115">G438*O438</f>
        <v>1</v>
      </c>
      <c r="S438" s="155"/>
    </row>
    <row r="439" spans="1:19" s="61" customFormat="1" ht="15.75" customHeight="1" x14ac:dyDescent="0.25">
      <c r="A439" s="448"/>
      <c r="B439" s="48" t="s">
        <v>474</v>
      </c>
      <c r="C439" s="48" t="s">
        <v>68</v>
      </c>
      <c r="D439" s="47" t="s">
        <v>46</v>
      </c>
      <c r="E439" s="47" t="s">
        <v>51</v>
      </c>
      <c r="F439" s="47" t="s">
        <v>18</v>
      </c>
      <c r="G439" s="47"/>
      <c r="H439" s="47">
        <v>1</v>
      </c>
      <c r="I439" s="47"/>
      <c r="J439" s="251" t="s">
        <v>456</v>
      </c>
      <c r="K439" s="412" t="s">
        <v>28</v>
      </c>
      <c r="L439" s="73" t="s">
        <v>567</v>
      </c>
      <c r="M439" s="251"/>
      <c r="N439" s="73"/>
      <c r="O439" s="362"/>
      <c r="P439" s="362">
        <v>1</v>
      </c>
      <c r="R439" s="223"/>
      <c r="S439" s="155">
        <f t="shared" ref="S439" si="116">H439*P439</f>
        <v>1</v>
      </c>
    </row>
    <row r="440" spans="1:19" s="61" customFormat="1" ht="25.5" x14ac:dyDescent="0.25">
      <c r="A440" s="478">
        <v>19</v>
      </c>
      <c r="B440" s="48" t="s">
        <v>99</v>
      </c>
      <c r="C440" s="48" t="s">
        <v>68</v>
      </c>
      <c r="D440" s="34" t="s">
        <v>85</v>
      </c>
      <c r="E440" s="47" t="s">
        <v>51</v>
      </c>
      <c r="F440" s="34" t="s">
        <v>17</v>
      </c>
      <c r="G440" s="34">
        <v>3</v>
      </c>
      <c r="H440" s="34"/>
      <c r="I440" s="34"/>
      <c r="J440" s="48" t="s">
        <v>485</v>
      </c>
      <c r="K440" s="363" t="s">
        <v>82</v>
      </c>
      <c r="L440" s="331" t="s">
        <v>17</v>
      </c>
      <c r="M440" s="363" t="s">
        <v>26</v>
      </c>
      <c r="N440" s="73"/>
      <c r="O440" s="362">
        <v>1</v>
      </c>
      <c r="P440" s="362"/>
      <c r="R440" s="223">
        <f t="shared" si="76"/>
        <v>3</v>
      </c>
      <c r="S440" s="155"/>
    </row>
    <row r="441" spans="1:19" s="61" customFormat="1" ht="25.5" x14ac:dyDescent="0.25">
      <c r="A441" s="435"/>
      <c r="B441" s="48" t="s">
        <v>99</v>
      </c>
      <c r="C441" s="48" t="s">
        <v>68</v>
      </c>
      <c r="D441" s="34" t="s">
        <v>85</v>
      </c>
      <c r="E441" s="47" t="s">
        <v>51</v>
      </c>
      <c r="F441" s="34" t="s">
        <v>18</v>
      </c>
      <c r="G441" s="34"/>
      <c r="H441" s="34">
        <v>5</v>
      </c>
      <c r="I441" s="34"/>
      <c r="J441" s="48" t="s">
        <v>485</v>
      </c>
      <c r="K441" s="363" t="s">
        <v>82</v>
      </c>
      <c r="L441" s="331" t="s">
        <v>17</v>
      </c>
      <c r="M441" s="363" t="s">
        <v>26</v>
      </c>
      <c r="N441" s="73"/>
      <c r="O441" s="362"/>
      <c r="P441" s="362">
        <v>1</v>
      </c>
      <c r="R441" s="223"/>
      <c r="S441" s="155">
        <f t="shared" si="76"/>
        <v>5</v>
      </c>
    </row>
    <row r="442" spans="1:19" s="61" customFormat="1" ht="15.75" customHeight="1" x14ac:dyDescent="0.25">
      <c r="A442" s="434">
        <v>20</v>
      </c>
      <c r="B442" s="48" t="s">
        <v>100</v>
      </c>
      <c r="C442" s="48" t="s">
        <v>68</v>
      </c>
      <c r="D442" s="34" t="s">
        <v>85</v>
      </c>
      <c r="E442" s="47" t="s">
        <v>51</v>
      </c>
      <c r="F442" s="47" t="s">
        <v>17</v>
      </c>
      <c r="G442" s="47">
        <v>2</v>
      </c>
      <c r="H442" s="47"/>
      <c r="I442" s="47"/>
      <c r="J442" s="150" t="s">
        <v>563</v>
      </c>
      <c r="K442" s="425" t="s">
        <v>82</v>
      </c>
      <c r="L442" s="331" t="s">
        <v>17</v>
      </c>
      <c r="M442" s="363" t="s">
        <v>26</v>
      </c>
      <c r="N442" s="73"/>
      <c r="O442" s="362">
        <v>1</v>
      </c>
      <c r="P442" s="362"/>
      <c r="R442" s="223">
        <f t="shared" si="76"/>
        <v>2</v>
      </c>
      <c r="S442" s="155"/>
    </row>
    <row r="443" spans="1:19" s="61" customFormat="1" ht="15.75" customHeight="1" x14ac:dyDescent="0.25">
      <c r="A443" s="435"/>
      <c r="B443" s="48" t="s">
        <v>100</v>
      </c>
      <c r="C443" s="48" t="s">
        <v>68</v>
      </c>
      <c r="D443" s="34" t="s">
        <v>85</v>
      </c>
      <c r="E443" s="47" t="s">
        <v>51</v>
      </c>
      <c r="F443" s="47" t="s">
        <v>18</v>
      </c>
      <c r="G443" s="47"/>
      <c r="H443" s="47">
        <v>3</v>
      </c>
      <c r="I443" s="47"/>
      <c r="J443" s="150" t="s">
        <v>563</v>
      </c>
      <c r="K443" s="425" t="s">
        <v>82</v>
      </c>
      <c r="L443" s="331" t="s">
        <v>17</v>
      </c>
      <c r="M443" s="363" t="s">
        <v>26</v>
      </c>
      <c r="N443" s="73"/>
      <c r="O443" s="362"/>
      <c r="P443" s="362">
        <v>1</v>
      </c>
      <c r="R443" s="223"/>
      <c r="S443" s="155">
        <f t="shared" si="76"/>
        <v>3</v>
      </c>
    </row>
    <row r="444" spans="1:19" s="61" customFormat="1" x14ac:dyDescent="0.25">
      <c r="A444" s="434">
        <v>21</v>
      </c>
      <c r="B444" s="48" t="s">
        <v>378</v>
      </c>
      <c r="C444" s="48" t="s">
        <v>68</v>
      </c>
      <c r="D444" s="34" t="s">
        <v>85</v>
      </c>
      <c r="E444" s="47" t="s">
        <v>51</v>
      </c>
      <c r="F444" s="47" t="s">
        <v>17</v>
      </c>
      <c r="G444" s="47">
        <v>3</v>
      </c>
      <c r="H444" s="47"/>
      <c r="I444" s="47"/>
      <c r="J444" s="55" t="s">
        <v>451</v>
      </c>
      <c r="K444" s="298" t="s">
        <v>28</v>
      </c>
      <c r="L444" s="73" t="s">
        <v>17</v>
      </c>
      <c r="M444" s="55" t="s">
        <v>26</v>
      </c>
      <c r="N444" s="73"/>
      <c r="O444" s="362">
        <v>1</v>
      </c>
      <c r="P444" s="362"/>
      <c r="R444" s="223">
        <f t="shared" si="76"/>
        <v>3</v>
      </c>
      <c r="S444" s="155"/>
    </row>
    <row r="445" spans="1:19" s="61" customFormat="1" ht="15.75" customHeight="1" x14ac:dyDescent="0.25">
      <c r="A445" s="434"/>
      <c r="B445" s="48" t="s">
        <v>378</v>
      </c>
      <c r="C445" s="48" t="s">
        <v>68</v>
      </c>
      <c r="D445" s="34" t="s">
        <v>85</v>
      </c>
      <c r="E445" s="47" t="s">
        <v>51</v>
      </c>
      <c r="F445" s="47" t="s">
        <v>18</v>
      </c>
      <c r="G445" s="47"/>
      <c r="H445" s="47">
        <v>5</v>
      </c>
      <c r="I445" s="47"/>
      <c r="J445" s="55" t="s">
        <v>551</v>
      </c>
      <c r="K445" s="48" t="s">
        <v>195</v>
      </c>
      <c r="L445" s="122" t="s">
        <v>17</v>
      </c>
      <c r="M445" s="251" t="s">
        <v>26</v>
      </c>
      <c r="N445" s="73"/>
      <c r="O445" s="362"/>
      <c r="P445" s="362">
        <v>1</v>
      </c>
      <c r="R445" s="223"/>
      <c r="S445" s="155">
        <f t="shared" ref="S445" si="117">H445*P445</f>
        <v>5</v>
      </c>
    </row>
    <row r="446" spans="1:19" s="61" customFormat="1" ht="15.75" customHeight="1" x14ac:dyDescent="0.25">
      <c r="A446" s="434">
        <v>22</v>
      </c>
      <c r="B446" s="48" t="s">
        <v>101</v>
      </c>
      <c r="C446" s="48" t="s">
        <v>68</v>
      </c>
      <c r="D446" s="34" t="s">
        <v>85</v>
      </c>
      <c r="E446" s="47" t="s">
        <v>51</v>
      </c>
      <c r="F446" s="47" t="s">
        <v>17</v>
      </c>
      <c r="G446" s="47">
        <v>1</v>
      </c>
      <c r="H446" s="47"/>
      <c r="I446" s="47"/>
      <c r="J446" s="363" t="s">
        <v>452</v>
      </c>
      <c r="K446" s="48" t="s">
        <v>82</v>
      </c>
      <c r="L446" s="47" t="s">
        <v>17</v>
      </c>
      <c r="M446" s="152" t="s">
        <v>26</v>
      </c>
      <c r="N446" s="73"/>
      <c r="O446" s="362">
        <v>1</v>
      </c>
      <c r="P446" s="362"/>
      <c r="R446" s="223">
        <f t="shared" si="76"/>
        <v>1</v>
      </c>
      <c r="S446" s="155"/>
    </row>
    <row r="447" spans="1:19" s="61" customFormat="1" ht="15.75" customHeight="1" x14ac:dyDescent="0.25">
      <c r="A447" s="435"/>
      <c r="B447" s="48" t="s">
        <v>101</v>
      </c>
      <c r="C447" s="48" t="s">
        <v>68</v>
      </c>
      <c r="D447" s="34" t="s">
        <v>85</v>
      </c>
      <c r="E447" s="47" t="s">
        <v>51</v>
      </c>
      <c r="F447" s="47" t="s">
        <v>18</v>
      </c>
      <c r="G447" s="47"/>
      <c r="H447" s="47">
        <v>2</v>
      </c>
      <c r="I447" s="47"/>
      <c r="J447" s="363" t="s">
        <v>452</v>
      </c>
      <c r="K447" s="48" t="s">
        <v>82</v>
      </c>
      <c r="L447" s="47" t="s">
        <v>17</v>
      </c>
      <c r="M447" s="152" t="s">
        <v>26</v>
      </c>
      <c r="N447" s="73"/>
      <c r="O447" s="362"/>
      <c r="P447" s="362">
        <v>1</v>
      </c>
      <c r="R447" s="223"/>
      <c r="S447" s="155">
        <f t="shared" si="76"/>
        <v>2</v>
      </c>
    </row>
    <row r="448" spans="1:19" s="61" customFormat="1" x14ac:dyDescent="0.25">
      <c r="A448" s="435"/>
      <c r="B448" s="48" t="s">
        <v>102</v>
      </c>
      <c r="C448" s="48" t="s">
        <v>68</v>
      </c>
      <c r="D448" s="34" t="s">
        <v>85</v>
      </c>
      <c r="E448" s="47" t="s">
        <v>51</v>
      </c>
      <c r="F448" s="47" t="s">
        <v>17</v>
      </c>
      <c r="G448" s="47">
        <v>1</v>
      </c>
      <c r="H448" s="47"/>
      <c r="I448" s="47"/>
      <c r="J448" s="48" t="s">
        <v>447</v>
      </c>
      <c r="K448" s="251" t="s">
        <v>28</v>
      </c>
      <c r="L448" s="47" t="s">
        <v>17</v>
      </c>
      <c r="M448" s="48" t="s">
        <v>26</v>
      </c>
      <c r="N448" s="73"/>
      <c r="O448" s="362">
        <v>1</v>
      </c>
      <c r="P448" s="362"/>
      <c r="R448" s="223">
        <f t="shared" ref="R448" si="118">G448*O448</f>
        <v>1</v>
      </c>
      <c r="S448" s="155"/>
    </row>
    <row r="449" spans="1:19" s="61" customFormat="1" x14ac:dyDescent="0.25">
      <c r="A449" s="435"/>
      <c r="B449" s="48" t="s">
        <v>102</v>
      </c>
      <c r="C449" s="48" t="s">
        <v>68</v>
      </c>
      <c r="D449" s="34" t="s">
        <v>85</v>
      </c>
      <c r="E449" s="47" t="s">
        <v>51</v>
      </c>
      <c r="F449" s="47" t="s">
        <v>18</v>
      </c>
      <c r="G449" s="47"/>
      <c r="H449" s="47">
        <v>2</v>
      </c>
      <c r="I449" s="47"/>
      <c r="J449" s="48" t="s">
        <v>447</v>
      </c>
      <c r="K449" s="251" t="s">
        <v>28</v>
      </c>
      <c r="L449" s="367" t="s">
        <v>17</v>
      </c>
      <c r="M449" s="48" t="s">
        <v>26</v>
      </c>
      <c r="N449" s="73"/>
      <c r="O449" s="362"/>
      <c r="P449" s="362">
        <v>1</v>
      </c>
      <c r="R449" s="223"/>
      <c r="S449" s="155">
        <f t="shared" ref="S449" si="119">H449*P449</f>
        <v>2</v>
      </c>
    </row>
    <row r="450" spans="1:19" s="61" customFormat="1" ht="15.75" customHeight="1" x14ac:dyDescent="0.25">
      <c r="A450" s="435"/>
      <c r="B450" s="363" t="s">
        <v>379</v>
      </c>
      <c r="C450" s="48" t="s">
        <v>68</v>
      </c>
      <c r="D450" s="34" t="s">
        <v>85</v>
      </c>
      <c r="E450" s="47" t="s">
        <v>51</v>
      </c>
      <c r="F450" s="47" t="s">
        <v>17</v>
      </c>
      <c r="G450" s="47">
        <v>1</v>
      </c>
      <c r="H450" s="47"/>
      <c r="I450" s="47"/>
      <c r="J450" s="363" t="s">
        <v>457</v>
      </c>
      <c r="K450" s="363" t="s">
        <v>43</v>
      </c>
      <c r="L450" s="47" t="s">
        <v>17</v>
      </c>
      <c r="M450" s="48" t="s">
        <v>26</v>
      </c>
      <c r="N450" s="73"/>
      <c r="O450" s="362">
        <v>1</v>
      </c>
      <c r="P450" s="362"/>
      <c r="R450" s="223">
        <f t="shared" ref="R450" si="120">G450*O450</f>
        <v>1</v>
      </c>
      <c r="S450" s="155"/>
    </row>
    <row r="451" spans="1:19" s="61" customFormat="1" x14ac:dyDescent="0.25">
      <c r="A451" s="435"/>
      <c r="B451" s="363" t="s">
        <v>379</v>
      </c>
      <c r="C451" s="48" t="s">
        <v>68</v>
      </c>
      <c r="D451" s="34" t="s">
        <v>85</v>
      </c>
      <c r="E451" s="47" t="s">
        <v>51</v>
      </c>
      <c r="F451" s="47" t="s">
        <v>18</v>
      </c>
      <c r="G451" s="47"/>
      <c r="H451" s="47">
        <v>2</v>
      </c>
      <c r="I451" s="47"/>
      <c r="J451" s="363" t="s">
        <v>457</v>
      </c>
      <c r="K451" s="363" t="s">
        <v>43</v>
      </c>
      <c r="L451" s="331" t="s">
        <v>17</v>
      </c>
      <c r="M451" s="363" t="s">
        <v>26</v>
      </c>
      <c r="N451" s="73"/>
      <c r="O451" s="362"/>
      <c r="P451" s="362">
        <v>1</v>
      </c>
      <c r="R451" s="223"/>
      <c r="S451" s="155">
        <f t="shared" ref="S451" si="121">H451*P451</f>
        <v>2</v>
      </c>
    </row>
    <row r="452" spans="1:19" s="61" customFormat="1" ht="25.5" x14ac:dyDescent="0.25">
      <c r="A452" s="435"/>
      <c r="B452" s="48" t="s">
        <v>500</v>
      </c>
      <c r="C452" s="48" t="s">
        <v>68</v>
      </c>
      <c r="D452" s="34" t="s">
        <v>85</v>
      </c>
      <c r="E452" s="47" t="s">
        <v>51</v>
      </c>
      <c r="F452" s="47" t="s">
        <v>17</v>
      </c>
      <c r="G452" s="47">
        <v>1</v>
      </c>
      <c r="H452" s="47"/>
      <c r="I452" s="47"/>
      <c r="J452" s="414" t="s">
        <v>410</v>
      </c>
      <c r="K452" s="412" t="s">
        <v>43</v>
      </c>
      <c r="L452" s="331" t="s">
        <v>17</v>
      </c>
      <c r="M452" s="414" t="s">
        <v>26</v>
      </c>
      <c r="N452" s="73"/>
      <c r="O452" s="362">
        <v>1</v>
      </c>
      <c r="P452" s="362"/>
      <c r="R452" s="223">
        <f t="shared" ref="R452" si="122">G452*O452</f>
        <v>1</v>
      </c>
      <c r="S452" s="155"/>
    </row>
    <row r="453" spans="1:19" s="61" customFormat="1" ht="25.5" x14ac:dyDescent="0.25">
      <c r="A453" s="435"/>
      <c r="B453" s="48" t="s">
        <v>500</v>
      </c>
      <c r="C453" s="48" t="s">
        <v>68</v>
      </c>
      <c r="D453" s="34" t="s">
        <v>85</v>
      </c>
      <c r="E453" s="47" t="s">
        <v>51</v>
      </c>
      <c r="F453" s="47" t="s">
        <v>18</v>
      </c>
      <c r="G453" s="47"/>
      <c r="H453" s="47">
        <v>2</v>
      </c>
      <c r="I453" s="47"/>
      <c r="J453" s="363" t="s">
        <v>459</v>
      </c>
      <c r="K453" s="48" t="s">
        <v>82</v>
      </c>
      <c r="L453" s="331" t="s">
        <v>17</v>
      </c>
      <c r="M453" s="363" t="s">
        <v>26</v>
      </c>
      <c r="N453" s="73"/>
      <c r="O453" s="362"/>
      <c r="P453" s="362">
        <v>1</v>
      </c>
      <c r="R453" s="223"/>
      <c r="S453" s="155">
        <f t="shared" ref="S453" si="123">H453*P453</f>
        <v>2</v>
      </c>
    </row>
    <row r="454" spans="1:19" s="61" customFormat="1" x14ac:dyDescent="0.25">
      <c r="A454" s="435"/>
      <c r="B454" s="363" t="s">
        <v>480</v>
      </c>
      <c r="C454" s="48" t="s">
        <v>68</v>
      </c>
      <c r="D454" s="34" t="s">
        <v>85</v>
      </c>
      <c r="E454" s="47" t="s">
        <v>51</v>
      </c>
      <c r="F454" s="47" t="s">
        <v>17</v>
      </c>
      <c r="G454" s="47">
        <v>1</v>
      </c>
      <c r="H454" s="47"/>
      <c r="I454" s="47"/>
      <c r="J454" s="48" t="s">
        <v>455</v>
      </c>
      <c r="K454" s="251" t="s">
        <v>28</v>
      </c>
      <c r="L454" s="73" t="s">
        <v>17</v>
      </c>
      <c r="M454" s="55" t="s">
        <v>26</v>
      </c>
      <c r="N454" s="73"/>
      <c r="O454" s="362">
        <v>1</v>
      </c>
      <c r="P454" s="362"/>
      <c r="R454" s="223">
        <f t="shared" ref="R454" si="124">G454*O454</f>
        <v>1</v>
      </c>
      <c r="S454" s="155"/>
    </row>
    <row r="455" spans="1:19" s="61" customFormat="1" ht="15.75" customHeight="1" x14ac:dyDescent="0.25">
      <c r="A455" s="435"/>
      <c r="B455" s="363" t="s">
        <v>480</v>
      </c>
      <c r="C455" s="48" t="s">
        <v>68</v>
      </c>
      <c r="D455" s="34" t="s">
        <v>85</v>
      </c>
      <c r="E455" s="47" t="s">
        <v>51</v>
      </c>
      <c r="F455" s="47" t="s">
        <v>18</v>
      </c>
      <c r="G455" s="47"/>
      <c r="H455" s="47">
        <v>2</v>
      </c>
      <c r="I455" s="47"/>
      <c r="J455" s="251" t="s">
        <v>547</v>
      </c>
      <c r="K455" s="251" t="s">
        <v>43</v>
      </c>
      <c r="L455" s="331" t="s">
        <v>37</v>
      </c>
      <c r="M455" s="251"/>
      <c r="N455" s="73"/>
      <c r="O455" s="362"/>
      <c r="P455" s="362">
        <v>1</v>
      </c>
      <c r="R455" s="223"/>
      <c r="S455" s="155">
        <f t="shared" ref="S455" si="125">H455*P455</f>
        <v>2</v>
      </c>
    </row>
    <row r="456" spans="1:19" s="61" customFormat="1" ht="15.75" customHeight="1" x14ac:dyDescent="0.25">
      <c r="A456" s="435">
        <v>23</v>
      </c>
      <c r="B456" s="48" t="s">
        <v>89</v>
      </c>
      <c r="C456" s="48" t="s">
        <v>68</v>
      </c>
      <c r="D456" s="47" t="s">
        <v>85</v>
      </c>
      <c r="E456" s="47" t="s">
        <v>51</v>
      </c>
      <c r="F456" s="47" t="s">
        <v>17</v>
      </c>
      <c r="G456" s="47">
        <v>1</v>
      </c>
      <c r="H456" s="38"/>
      <c r="I456" s="47"/>
      <c r="J456" s="251" t="s">
        <v>409</v>
      </c>
      <c r="K456" s="48" t="s">
        <v>43</v>
      </c>
      <c r="L456" s="331" t="s">
        <v>17</v>
      </c>
      <c r="M456" s="363" t="s">
        <v>26</v>
      </c>
      <c r="N456" s="73"/>
      <c r="O456" s="362">
        <v>1</v>
      </c>
      <c r="P456" s="362"/>
      <c r="R456" s="223">
        <f t="shared" ref="R456" si="126">G456*O456</f>
        <v>1</v>
      </c>
      <c r="S456" s="155"/>
    </row>
    <row r="457" spans="1:19" s="61" customFormat="1" x14ac:dyDescent="0.25">
      <c r="A457" s="435"/>
      <c r="B457" s="48" t="s">
        <v>89</v>
      </c>
      <c r="C457" s="48" t="s">
        <v>68</v>
      </c>
      <c r="D457" s="47" t="s">
        <v>85</v>
      </c>
      <c r="E457" s="47" t="s">
        <v>51</v>
      </c>
      <c r="F457" s="47" t="s">
        <v>18</v>
      </c>
      <c r="G457" s="47"/>
      <c r="H457" s="47">
        <v>2</v>
      </c>
      <c r="I457" s="47"/>
      <c r="J457" s="251" t="s">
        <v>409</v>
      </c>
      <c r="K457" s="48" t="s">
        <v>43</v>
      </c>
      <c r="L457" s="331" t="s">
        <v>17</v>
      </c>
      <c r="M457" s="363" t="s">
        <v>26</v>
      </c>
      <c r="N457" s="73"/>
      <c r="O457" s="362"/>
      <c r="P457" s="362">
        <v>1</v>
      </c>
      <c r="R457" s="223"/>
      <c r="S457" s="155">
        <f t="shared" ref="S457" si="127">H457*P457</f>
        <v>2</v>
      </c>
    </row>
    <row r="458" spans="1:19" s="61" customFormat="1" x14ac:dyDescent="0.25">
      <c r="A458" s="435"/>
      <c r="B458" s="48" t="s">
        <v>377</v>
      </c>
      <c r="C458" s="48" t="s">
        <v>68</v>
      </c>
      <c r="D458" s="47" t="s">
        <v>85</v>
      </c>
      <c r="E458" s="47" t="s">
        <v>51</v>
      </c>
      <c r="F458" s="47" t="s">
        <v>17</v>
      </c>
      <c r="G458" s="47">
        <v>1</v>
      </c>
      <c r="H458" s="38"/>
      <c r="I458" s="47"/>
      <c r="J458" s="150" t="s">
        <v>563</v>
      </c>
      <c r="K458" s="425" t="s">
        <v>82</v>
      </c>
      <c r="L458" s="331" t="s">
        <v>17</v>
      </c>
      <c r="M458" s="363" t="s">
        <v>26</v>
      </c>
      <c r="N458" s="73"/>
      <c r="O458" s="362">
        <v>0</v>
      </c>
      <c r="P458" s="362"/>
      <c r="R458" s="223">
        <f t="shared" ref="R458" si="128">G458*O458</f>
        <v>0</v>
      </c>
      <c r="S458" s="155"/>
    </row>
    <row r="459" spans="1:19" s="61" customFormat="1" ht="15.75" customHeight="1" x14ac:dyDescent="0.25">
      <c r="A459" s="435"/>
      <c r="B459" s="48" t="s">
        <v>377</v>
      </c>
      <c r="C459" s="48" t="s">
        <v>68</v>
      </c>
      <c r="D459" s="47" t="s">
        <v>85</v>
      </c>
      <c r="E459" s="47" t="s">
        <v>51</v>
      </c>
      <c r="F459" s="47" t="s">
        <v>18</v>
      </c>
      <c r="G459" s="47"/>
      <c r="H459" s="47">
        <v>2</v>
      </c>
      <c r="I459" s="47"/>
      <c r="J459" s="150" t="s">
        <v>563</v>
      </c>
      <c r="K459" s="425" t="s">
        <v>82</v>
      </c>
      <c r="L459" s="331" t="s">
        <v>17</v>
      </c>
      <c r="M459" s="363" t="s">
        <v>26</v>
      </c>
      <c r="N459" s="73"/>
      <c r="O459" s="362"/>
      <c r="P459" s="362">
        <v>0</v>
      </c>
      <c r="R459" s="223"/>
      <c r="S459" s="155">
        <f t="shared" ref="S459" si="129">H459*P459</f>
        <v>0</v>
      </c>
    </row>
    <row r="460" spans="1:19" s="61" customFormat="1" ht="15.75" customHeight="1" x14ac:dyDescent="0.25">
      <c r="A460" s="282"/>
      <c r="B460" s="279"/>
      <c r="C460" s="279"/>
      <c r="D460" s="280"/>
      <c r="E460" s="280"/>
      <c r="F460" s="280"/>
      <c r="G460" s="280">
        <f>SUM(G378:G455)</f>
        <v>71</v>
      </c>
      <c r="H460" s="280">
        <f>SUM(H378:H455)</f>
        <v>88</v>
      </c>
      <c r="I460" s="280"/>
      <c r="J460" s="279"/>
      <c r="K460" s="279"/>
      <c r="L460" s="280"/>
      <c r="M460" s="279"/>
      <c r="N460" s="155"/>
      <c r="O460" s="155"/>
      <c r="P460" s="155"/>
      <c r="Q460" s="155"/>
      <c r="R460" s="155"/>
      <c r="S460" s="155"/>
    </row>
    <row r="461" spans="1:19" ht="15.75" customHeight="1" x14ac:dyDescent="0.25">
      <c r="A461" s="6"/>
      <c r="B461" s="316"/>
      <c r="C461" s="7"/>
      <c r="D461" s="6"/>
      <c r="E461" s="6"/>
      <c r="F461" s="6"/>
      <c r="G461" s="6"/>
      <c r="H461" s="7"/>
      <c r="I461" s="7"/>
      <c r="J461" s="7"/>
      <c r="K461" s="7"/>
      <c r="L461" s="6"/>
      <c r="M461" s="7"/>
      <c r="R461" s="66"/>
    </row>
    <row r="462" spans="1:19" ht="15.75" customHeight="1" x14ac:dyDescent="0.25">
      <c r="A462" s="2"/>
      <c r="B462" s="233" t="s">
        <v>328</v>
      </c>
      <c r="C462" s="233"/>
      <c r="D462" s="234"/>
      <c r="E462" s="234"/>
      <c r="F462" s="234"/>
      <c r="G462" s="234"/>
      <c r="H462" s="234"/>
      <c r="I462" s="234"/>
      <c r="J462" s="235"/>
      <c r="K462" s="235"/>
      <c r="L462" s="2"/>
      <c r="M462" s="5"/>
      <c r="N462" s="58"/>
      <c r="O462" s="1"/>
      <c r="P462" s="1"/>
      <c r="R462" s="1"/>
    </row>
    <row r="463" spans="1:19" ht="15.75" customHeight="1" x14ac:dyDescent="0.25">
      <c r="A463" s="2"/>
      <c r="B463" s="299"/>
      <c r="C463" s="299"/>
      <c r="D463" s="300"/>
      <c r="E463" s="300"/>
      <c r="F463" s="300"/>
      <c r="G463" s="300"/>
      <c r="H463" s="300"/>
      <c r="I463" s="300"/>
      <c r="J463" s="301"/>
      <c r="K463" s="301"/>
      <c r="L463" s="2"/>
      <c r="M463" s="5"/>
      <c r="N463" s="58"/>
      <c r="O463" s="1"/>
      <c r="P463" s="1"/>
      <c r="R463" s="1"/>
    </row>
    <row r="464" spans="1:19" ht="15.75" customHeight="1" x14ac:dyDescent="0.25">
      <c r="A464" s="28"/>
      <c r="B464" s="228" t="s">
        <v>49</v>
      </c>
      <c r="C464" s="30"/>
      <c r="D464" s="20"/>
      <c r="E464" s="20"/>
      <c r="F464" s="20"/>
      <c r="G464" s="20"/>
      <c r="H464" s="20"/>
      <c r="I464" s="20"/>
      <c r="J464" s="29"/>
      <c r="K464" s="29"/>
      <c r="L464" s="20"/>
      <c r="M464" s="29"/>
      <c r="N464" s="65"/>
      <c r="O464" s="20"/>
      <c r="P464" s="65"/>
      <c r="R464" s="66"/>
    </row>
    <row r="465" spans="1:19" ht="15.75" customHeight="1" x14ac:dyDescent="0.25">
      <c r="N465" s="65"/>
      <c r="O465" s="20"/>
      <c r="P465" s="65"/>
      <c r="R465" s="66"/>
    </row>
    <row r="466" spans="1:19" x14ac:dyDescent="0.25">
      <c r="A466" s="446">
        <v>1</v>
      </c>
      <c r="B466" s="48" t="s">
        <v>32</v>
      </c>
      <c r="C466" s="18" t="s">
        <v>23</v>
      </c>
      <c r="D466" s="19" t="s">
        <v>24</v>
      </c>
      <c r="E466" s="19" t="s">
        <v>51</v>
      </c>
      <c r="F466" s="367" t="s">
        <v>17</v>
      </c>
      <c r="G466" s="367">
        <v>2</v>
      </c>
      <c r="H466" s="22"/>
      <c r="I466" s="238"/>
      <c r="J466" s="133" t="s">
        <v>450</v>
      </c>
      <c r="K466" s="48" t="s">
        <v>564</v>
      </c>
      <c r="L466" s="47" t="s">
        <v>17</v>
      </c>
      <c r="M466" s="359" t="s">
        <v>26</v>
      </c>
      <c r="N466" s="72"/>
      <c r="O466" s="47">
        <v>1</v>
      </c>
      <c r="P466" s="47"/>
      <c r="Q466" s="47"/>
      <c r="R466" s="222">
        <f t="shared" ref="R466" si="130">G466*O466</f>
        <v>2</v>
      </c>
      <c r="S466" s="232"/>
    </row>
    <row r="467" spans="1:19" x14ac:dyDescent="0.25">
      <c r="A467" s="448"/>
      <c r="B467" s="48" t="s">
        <v>32</v>
      </c>
      <c r="C467" s="18" t="s">
        <v>23</v>
      </c>
      <c r="D467" s="19" t="s">
        <v>24</v>
      </c>
      <c r="E467" s="19" t="s">
        <v>51</v>
      </c>
      <c r="F467" s="367" t="s">
        <v>18</v>
      </c>
      <c r="G467" s="367"/>
      <c r="H467" s="47">
        <v>2</v>
      </c>
      <c r="I467" s="238"/>
      <c r="J467" s="133" t="s">
        <v>450</v>
      </c>
      <c r="K467" s="48" t="s">
        <v>564</v>
      </c>
      <c r="L467" s="47" t="s">
        <v>17</v>
      </c>
      <c r="M467" s="359" t="s">
        <v>26</v>
      </c>
      <c r="N467" s="72"/>
      <c r="O467" s="47"/>
      <c r="P467" s="47">
        <v>1</v>
      </c>
      <c r="Q467" s="47"/>
      <c r="R467" s="222"/>
      <c r="S467" s="232">
        <f t="shared" ref="S467" si="131">H467*P467</f>
        <v>2</v>
      </c>
    </row>
    <row r="468" spans="1:19" x14ac:dyDescent="0.25">
      <c r="A468" s="446">
        <v>2</v>
      </c>
      <c r="B468" s="48" t="s">
        <v>190</v>
      </c>
      <c r="C468" s="18" t="s">
        <v>23</v>
      </c>
      <c r="D468" s="47" t="s">
        <v>24</v>
      </c>
      <c r="E468" s="19" t="s">
        <v>51</v>
      </c>
      <c r="F468" s="19" t="s">
        <v>17</v>
      </c>
      <c r="G468" s="47">
        <v>2</v>
      </c>
      <c r="H468" s="47"/>
      <c r="I468" s="47"/>
      <c r="J468" s="48" t="s">
        <v>453</v>
      </c>
      <c r="K468" s="359" t="s">
        <v>28</v>
      </c>
      <c r="L468" s="47" t="s">
        <v>17</v>
      </c>
      <c r="M468" s="48" t="s">
        <v>26</v>
      </c>
      <c r="N468" s="362"/>
      <c r="O468" s="47">
        <v>1</v>
      </c>
      <c r="P468" s="362"/>
      <c r="Q468" s="61"/>
      <c r="R468" s="223">
        <f t="shared" ref="R468:S526" si="132">G468*O468</f>
        <v>2</v>
      </c>
      <c r="S468" s="232"/>
    </row>
    <row r="469" spans="1:19" x14ac:dyDescent="0.25">
      <c r="A469" s="448"/>
      <c r="B469" s="48" t="s">
        <v>190</v>
      </c>
      <c r="C469" s="18" t="s">
        <v>23</v>
      </c>
      <c r="D469" s="47" t="s">
        <v>24</v>
      </c>
      <c r="E469" s="19" t="s">
        <v>51</v>
      </c>
      <c r="F469" s="19" t="s">
        <v>18</v>
      </c>
      <c r="G469" s="47"/>
      <c r="H469" s="47">
        <v>2</v>
      </c>
      <c r="I469" s="47"/>
      <c r="J469" s="48" t="s">
        <v>453</v>
      </c>
      <c r="K469" s="359" t="s">
        <v>28</v>
      </c>
      <c r="L469" s="34" t="s">
        <v>17</v>
      </c>
      <c r="M469" s="48" t="s">
        <v>26</v>
      </c>
      <c r="N469" s="362"/>
      <c r="O469" s="47"/>
      <c r="P469" s="362">
        <v>1</v>
      </c>
      <c r="Q469" s="61"/>
      <c r="R469" s="222"/>
      <c r="S469" s="232">
        <f t="shared" si="132"/>
        <v>2</v>
      </c>
    </row>
    <row r="470" spans="1:19" x14ac:dyDescent="0.25">
      <c r="A470" s="519">
        <v>3</v>
      </c>
      <c r="B470" s="363" t="s">
        <v>52</v>
      </c>
      <c r="C470" s="35" t="s">
        <v>23</v>
      </c>
      <c r="D470" s="47" t="s">
        <v>24</v>
      </c>
      <c r="E470" s="19" t="s">
        <v>51</v>
      </c>
      <c r="F470" s="36" t="s">
        <v>17</v>
      </c>
      <c r="G470" s="331">
        <v>2</v>
      </c>
      <c r="H470" s="331"/>
      <c r="I470" s="331"/>
      <c r="J470" s="377" t="s">
        <v>472</v>
      </c>
      <c r="K470" s="363" t="s">
        <v>82</v>
      </c>
      <c r="L470" s="331" t="s">
        <v>17</v>
      </c>
      <c r="M470" s="363" t="s">
        <v>26</v>
      </c>
      <c r="N470" s="362"/>
      <c r="O470" s="47">
        <v>1</v>
      </c>
      <c r="P470" s="362"/>
      <c r="Q470" s="61"/>
      <c r="R470" s="222">
        <f t="shared" si="132"/>
        <v>2</v>
      </c>
      <c r="S470" s="232"/>
    </row>
    <row r="471" spans="1:19" s="149" customFormat="1" x14ac:dyDescent="0.25">
      <c r="A471" s="448"/>
      <c r="B471" s="363" t="s">
        <v>52</v>
      </c>
      <c r="C471" s="35" t="s">
        <v>23</v>
      </c>
      <c r="D471" s="331" t="s">
        <v>24</v>
      </c>
      <c r="E471" s="36" t="s">
        <v>51</v>
      </c>
      <c r="F471" s="36" t="s">
        <v>18</v>
      </c>
      <c r="G471" s="331"/>
      <c r="H471" s="331">
        <v>2</v>
      </c>
      <c r="I471" s="331"/>
      <c r="J471" s="363" t="s">
        <v>410</v>
      </c>
      <c r="K471" s="48" t="s">
        <v>43</v>
      </c>
      <c r="L471" s="331" t="s">
        <v>17</v>
      </c>
      <c r="M471" s="363" t="s">
        <v>26</v>
      </c>
      <c r="N471" s="154"/>
      <c r="O471" s="331"/>
      <c r="P471" s="154">
        <v>1</v>
      </c>
      <c r="Q471" s="62"/>
      <c r="R471" s="381"/>
      <c r="S471" s="382">
        <f t="shared" si="132"/>
        <v>2</v>
      </c>
    </row>
    <row r="472" spans="1:19" x14ac:dyDescent="0.25">
      <c r="A472" s="446">
        <v>4</v>
      </c>
      <c r="B472" s="48" t="s">
        <v>55</v>
      </c>
      <c r="C472" s="18" t="s">
        <v>23</v>
      </c>
      <c r="D472" s="47" t="s">
        <v>24</v>
      </c>
      <c r="E472" s="36" t="s">
        <v>51</v>
      </c>
      <c r="F472" s="21" t="s">
        <v>17</v>
      </c>
      <c r="G472" s="367">
        <v>2</v>
      </c>
      <c r="H472" s="23"/>
      <c r="I472" s="367"/>
      <c r="J472" s="48" t="s">
        <v>461</v>
      </c>
      <c r="K472" s="48" t="s">
        <v>82</v>
      </c>
      <c r="L472" s="47" t="s">
        <v>17</v>
      </c>
      <c r="M472" s="359" t="s">
        <v>26</v>
      </c>
      <c r="N472" s="362"/>
      <c r="O472" s="47">
        <v>1</v>
      </c>
      <c r="P472" s="362"/>
      <c r="Q472" s="61"/>
      <c r="R472" s="222">
        <f t="shared" si="132"/>
        <v>2</v>
      </c>
      <c r="S472" s="232"/>
    </row>
    <row r="473" spans="1:19" ht="15.75" customHeight="1" x14ac:dyDescent="0.25">
      <c r="A473" s="448"/>
      <c r="B473" s="48" t="s">
        <v>55</v>
      </c>
      <c r="C473" s="18" t="s">
        <v>23</v>
      </c>
      <c r="D473" s="47" t="s">
        <v>24</v>
      </c>
      <c r="E473" s="37" t="s">
        <v>51</v>
      </c>
      <c r="F473" s="21" t="s">
        <v>18</v>
      </c>
      <c r="G473" s="367"/>
      <c r="H473" s="367">
        <v>2</v>
      </c>
      <c r="I473" s="367"/>
      <c r="J473" s="48" t="s">
        <v>461</v>
      </c>
      <c r="K473" s="48" t="s">
        <v>82</v>
      </c>
      <c r="L473" s="47" t="s">
        <v>17</v>
      </c>
      <c r="M473" s="359" t="s">
        <v>26</v>
      </c>
      <c r="N473" s="362"/>
      <c r="O473" s="47"/>
      <c r="P473" s="362">
        <v>1</v>
      </c>
      <c r="Q473" s="61"/>
      <c r="R473" s="222"/>
      <c r="S473" s="232">
        <f t="shared" si="132"/>
        <v>2</v>
      </c>
    </row>
    <row r="474" spans="1:19" x14ac:dyDescent="0.25">
      <c r="A474" s="446">
        <v>5</v>
      </c>
      <c r="B474" s="48" t="s">
        <v>56</v>
      </c>
      <c r="C474" s="18" t="s">
        <v>23</v>
      </c>
      <c r="D474" s="47" t="s">
        <v>24</v>
      </c>
      <c r="E474" s="37" t="s">
        <v>51</v>
      </c>
      <c r="F474" s="47" t="s">
        <v>17</v>
      </c>
      <c r="G474" s="47">
        <v>2</v>
      </c>
      <c r="H474" s="38"/>
      <c r="I474" s="47"/>
      <c r="J474" s="48" t="s">
        <v>455</v>
      </c>
      <c r="K474" s="48" t="s">
        <v>28</v>
      </c>
      <c r="L474" s="47" t="s">
        <v>17</v>
      </c>
      <c r="M474" s="359" t="s">
        <v>26</v>
      </c>
      <c r="N474" s="362"/>
      <c r="O474" s="47">
        <v>1</v>
      </c>
      <c r="P474" s="362"/>
      <c r="Q474" s="61"/>
      <c r="R474" s="222">
        <f t="shared" si="132"/>
        <v>2</v>
      </c>
      <c r="S474" s="232"/>
    </row>
    <row r="475" spans="1:19" ht="25.5" x14ac:dyDescent="0.25">
      <c r="A475" s="448"/>
      <c r="B475" s="48" t="s">
        <v>56</v>
      </c>
      <c r="C475" s="18" t="s">
        <v>23</v>
      </c>
      <c r="D475" s="47" t="s">
        <v>24</v>
      </c>
      <c r="E475" s="37" t="s">
        <v>51</v>
      </c>
      <c r="F475" s="47" t="s">
        <v>17</v>
      </c>
      <c r="G475" s="47"/>
      <c r="H475" s="39">
        <v>2</v>
      </c>
      <c r="I475" s="47"/>
      <c r="J475" s="251" t="s">
        <v>323</v>
      </c>
      <c r="K475" s="48" t="s">
        <v>303</v>
      </c>
      <c r="L475" s="122" t="s">
        <v>17</v>
      </c>
      <c r="M475" s="134" t="s">
        <v>26</v>
      </c>
      <c r="N475" s="362"/>
      <c r="O475" s="47"/>
      <c r="P475" s="362">
        <v>1</v>
      </c>
      <c r="Q475" s="61"/>
      <c r="R475" s="222"/>
      <c r="S475" s="232">
        <f t="shared" si="132"/>
        <v>2</v>
      </c>
    </row>
    <row r="476" spans="1:19" ht="15.75" customHeight="1" x14ac:dyDescent="0.25">
      <c r="A476" s="446">
        <v>6</v>
      </c>
      <c r="B476" s="48" t="s">
        <v>57</v>
      </c>
      <c r="C476" s="18" t="s">
        <v>23</v>
      </c>
      <c r="D476" s="47" t="s">
        <v>24</v>
      </c>
      <c r="E476" s="37" t="s">
        <v>51</v>
      </c>
      <c r="F476" s="19" t="s">
        <v>17</v>
      </c>
      <c r="G476" s="47">
        <v>1</v>
      </c>
      <c r="H476" s="23"/>
      <c r="I476" s="24"/>
      <c r="J476" s="363" t="s">
        <v>449</v>
      </c>
      <c r="K476" s="251" t="s">
        <v>28</v>
      </c>
      <c r="L476" s="47" t="s">
        <v>17</v>
      </c>
      <c r="M476" s="48" t="s">
        <v>26</v>
      </c>
      <c r="N476" s="362"/>
      <c r="O476" s="47">
        <v>1</v>
      </c>
      <c r="P476" s="362"/>
      <c r="Q476" s="61"/>
      <c r="R476" s="222">
        <f t="shared" si="132"/>
        <v>1</v>
      </c>
      <c r="S476" s="232"/>
    </row>
    <row r="477" spans="1:19" ht="15.75" customHeight="1" x14ac:dyDescent="0.25">
      <c r="A477" s="447"/>
      <c r="B477" s="48" t="s">
        <v>57</v>
      </c>
      <c r="C477" s="18" t="s">
        <v>23</v>
      </c>
      <c r="D477" s="47" t="s">
        <v>24</v>
      </c>
      <c r="E477" s="37" t="s">
        <v>51</v>
      </c>
      <c r="F477" s="19" t="s">
        <v>18</v>
      </c>
      <c r="G477" s="47"/>
      <c r="H477" s="24">
        <v>2</v>
      </c>
      <c r="I477" s="24"/>
      <c r="J477" s="363" t="s">
        <v>449</v>
      </c>
      <c r="K477" s="251" t="s">
        <v>28</v>
      </c>
      <c r="L477" s="47" t="s">
        <v>17</v>
      </c>
      <c r="M477" s="48" t="s">
        <v>26</v>
      </c>
      <c r="N477" s="362"/>
      <c r="O477" s="47"/>
      <c r="P477" s="362">
        <v>1</v>
      </c>
      <c r="Q477" s="61"/>
      <c r="R477" s="222"/>
      <c r="S477" s="232">
        <f t="shared" si="132"/>
        <v>2</v>
      </c>
    </row>
    <row r="478" spans="1:19" x14ac:dyDescent="0.25">
      <c r="A478" s="447"/>
      <c r="B478" s="48" t="s">
        <v>58</v>
      </c>
      <c r="C478" s="18" t="s">
        <v>23</v>
      </c>
      <c r="D478" s="47" t="s">
        <v>24</v>
      </c>
      <c r="E478" s="37" t="s">
        <v>51</v>
      </c>
      <c r="F478" s="19" t="s">
        <v>17</v>
      </c>
      <c r="G478" s="47">
        <v>1</v>
      </c>
      <c r="H478" s="25"/>
      <c r="I478" s="24"/>
      <c r="J478" s="363"/>
      <c r="K478" s="363"/>
      <c r="L478" s="331"/>
      <c r="M478" s="363"/>
      <c r="N478" s="362"/>
      <c r="O478" s="47">
        <v>1</v>
      </c>
      <c r="P478" s="362"/>
      <c r="Q478" s="61"/>
      <c r="R478" s="222">
        <f t="shared" ref="R478" si="133">G478*O478</f>
        <v>1</v>
      </c>
      <c r="S478" s="232"/>
    </row>
    <row r="479" spans="1:19" x14ac:dyDescent="0.25">
      <c r="A479" s="447"/>
      <c r="B479" s="48" t="s">
        <v>58</v>
      </c>
      <c r="C479" s="18" t="s">
        <v>23</v>
      </c>
      <c r="D479" s="47" t="s">
        <v>24</v>
      </c>
      <c r="E479" s="37" t="s">
        <v>51</v>
      </c>
      <c r="F479" s="19" t="s">
        <v>18</v>
      </c>
      <c r="G479" s="47"/>
      <c r="H479" s="24">
        <v>2</v>
      </c>
      <c r="I479" s="47"/>
      <c r="J479" s="363"/>
      <c r="K479" s="363"/>
      <c r="L479" s="331"/>
      <c r="M479" s="363"/>
      <c r="N479" s="362"/>
      <c r="O479" s="47"/>
      <c r="P479" s="362">
        <v>1</v>
      </c>
      <c r="Q479" s="61"/>
      <c r="R479" s="222"/>
      <c r="S479" s="232">
        <f t="shared" ref="S479" si="134">H479*P479</f>
        <v>2</v>
      </c>
    </row>
    <row r="480" spans="1:19" x14ac:dyDescent="0.25">
      <c r="A480" s="447"/>
      <c r="B480" s="48" t="s">
        <v>462</v>
      </c>
      <c r="C480" s="18" t="s">
        <v>23</v>
      </c>
      <c r="D480" s="47" t="s">
        <v>24</v>
      </c>
      <c r="E480" s="37" t="s">
        <v>51</v>
      </c>
      <c r="F480" s="19" t="s">
        <v>17</v>
      </c>
      <c r="G480" s="47">
        <v>1</v>
      </c>
      <c r="H480" s="25"/>
      <c r="I480" s="24"/>
      <c r="J480" s="363"/>
      <c r="K480" s="359"/>
      <c r="L480" s="47"/>
      <c r="M480" s="48"/>
      <c r="N480" s="362"/>
      <c r="O480" s="47">
        <v>0</v>
      </c>
      <c r="P480" s="362"/>
      <c r="Q480" s="61"/>
      <c r="R480" s="222">
        <f t="shared" ref="R480" si="135">G480*O480</f>
        <v>0</v>
      </c>
      <c r="S480" s="232"/>
    </row>
    <row r="481" spans="1:19" x14ac:dyDescent="0.25">
      <c r="A481" s="447"/>
      <c r="B481" s="48" t="s">
        <v>462</v>
      </c>
      <c r="C481" s="18" t="s">
        <v>23</v>
      </c>
      <c r="D481" s="47" t="s">
        <v>24</v>
      </c>
      <c r="E481" s="37" t="s">
        <v>51</v>
      </c>
      <c r="F481" s="19" t="s">
        <v>18</v>
      </c>
      <c r="G481" s="47"/>
      <c r="H481" s="24">
        <v>2</v>
      </c>
      <c r="I481" s="47"/>
      <c r="J481" s="363"/>
      <c r="K481" s="359"/>
      <c r="L481" s="47"/>
      <c r="M481" s="48"/>
      <c r="N481" s="362"/>
      <c r="O481" s="47"/>
      <c r="P481" s="362">
        <v>0</v>
      </c>
      <c r="Q481" s="61"/>
      <c r="R481" s="222"/>
      <c r="S481" s="232">
        <f t="shared" ref="S481" si="136">H481*P481</f>
        <v>0</v>
      </c>
    </row>
    <row r="482" spans="1:19" x14ac:dyDescent="0.25">
      <c r="A482" s="447"/>
      <c r="B482" s="48" t="s">
        <v>463</v>
      </c>
      <c r="C482" s="18" t="s">
        <v>23</v>
      </c>
      <c r="D482" s="47" t="s">
        <v>24</v>
      </c>
      <c r="E482" s="37" t="s">
        <v>51</v>
      </c>
      <c r="F482" s="19" t="s">
        <v>17</v>
      </c>
      <c r="G482" s="47">
        <v>1</v>
      </c>
      <c r="H482" s="25"/>
      <c r="I482" s="24"/>
      <c r="J482" s="363"/>
      <c r="K482" s="359"/>
      <c r="L482" s="47"/>
      <c r="M482" s="48"/>
      <c r="N482" s="362"/>
      <c r="O482" s="47">
        <v>0</v>
      </c>
      <c r="P482" s="362"/>
      <c r="Q482" s="61"/>
      <c r="R482" s="222">
        <f t="shared" ref="R482" si="137">G482*O482</f>
        <v>0</v>
      </c>
      <c r="S482" s="232"/>
    </row>
    <row r="483" spans="1:19" ht="15.75" customHeight="1" x14ac:dyDescent="0.25">
      <c r="A483" s="447"/>
      <c r="B483" s="48" t="s">
        <v>463</v>
      </c>
      <c r="C483" s="18" t="s">
        <v>23</v>
      </c>
      <c r="D483" s="47" t="s">
        <v>24</v>
      </c>
      <c r="E483" s="37" t="s">
        <v>51</v>
      </c>
      <c r="F483" s="19" t="s">
        <v>18</v>
      </c>
      <c r="G483" s="47"/>
      <c r="H483" s="24">
        <v>2</v>
      </c>
      <c r="I483" s="47"/>
      <c r="J483" s="363"/>
      <c r="K483" s="359"/>
      <c r="L483" s="47"/>
      <c r="M483" s="48"/>
      <c r="N483" s="362"/>
      <c r="O483" s="47"/>
      <c r="P483" s="362">
        <v>0</v>
      </c>
      <c r="Q483" s="61"/>
      <c r="R483" s="222"/>
      <c r="S483" s="232">
        <f t="shared" ref="S483" si="138">H483*P483</f>
        <v>0</v>
      </c>
    </row>
    <row r="484" spans="1:19" x14ac:dyDescent="0.25">
      <c r="A484" s="446">
        <v>7</v>
      </c>
      <c r="B484" s="48" t="s">
        <v>191</v>
      </c>
      <c r="C484" s="18" t="s">
        <v>23</v>
      </c>
      <c r="D484" s="19" t="s">
        <v>36</v>
      </c>
      <c r="E484" s="240" t="s">
        <v>51</v>
      </c>
      <c r="F484" s="19" t="s">
        <v>17</v>
      </c>
      <c r="G484" s="47">
        <v>2</v>
      </c>
      <c r="H484" s="23"/>
      <c r="I484" s="47"/>
      <c r="J484" s="150" t="s">
        <v>563</v>
      </c>
      <c r="K484" s="425" t="s">
        <v>82</v>
      </c>
      <c r="L484" s="331" t="s">
        <v>17</v>
      </c>
      <c r="M484" s="363" t="s">
        <v>26</v>
      </c>
      <c r="N484" s="73"/>
      <c r="O484" s="47">
        <v>1</v>
      </c>
      <c r="P484" s="362"/>
      <c r="Q484" s="61"/>
      <c r="R484" s="222">
        <f>G484*O484</f>
        <v>2</v>
      </c>
      <c r="S484" s="155"/>
    </row>
    <row r="485" spans="1:19" ht="15.75" customHeight="1" x14ac:dyDescent="0.25">
      <c r="A485" s="448"/>
      <c r="B485" s="48" t="s">
        <v>191</v>
      </c>
      <c r="C485" s="18" t="s">
        <v>23</v>
      </c>
      <c r="D485" s="19" t="s">
        <v>36</v>
      </c>
      <c r="E485" s="240" t="s">
        <v>51</v>
      </c>
      <c r="F485" s="19" t="s">
        <v>18</v>
      </c>
      <c r="G485" s="47"/>
      <c r="H485" s="47">
        <v>2</v>
      </c>
      <c r="I485" s="47"/>
      <c r="J485" s="150" t="s">
        <v>563</v>
      </c>
      <c r="K485" s="425" t="s">
        <v>82</v>
      </c>
      <c r="L485" s="331" t="s">
        <v>17</v>
      </c>
      <c r="M485" s="363" t="s">
        <v>26</v>
      </c>
      <c r="N485" s="73"/>
      <c r="O485" s="47"/>
      <c r="P485" s="362">
        <v>1</v>
      </c>
      <c r="Q485" s="61"/>
      <c r="R485" s="222"/>
      <c r="S485" s="155">
        <f>H485*P485+I485*Q485</f>
        <v>2</v>
      </c>
    </row>
    <row r="486" spans="1:19" ht="15.75" customHeight="1" x14ac:dyDescent="0.25">
      <c r="A486" s="446">
        <v>8</v>
      </c>
      <c r="B486" s="48" t="s">
        <v>59</v>
      </c>
      <c r="C486" s="18" t="s">
        <v>23</v>
      </c>
      <c r="D486" s="19" t="s">
        <v>36</v>
      </c>
      <c r="E486" s="37" t="s">
        <v>51</v>
      </c>
      <c r="F486" s="19" t="s">
        <v>17</v>
      </c>
      <c r="G486" s="47">
        <v>2</v>
      </c>
      <c r="H486" s="23"/>
      <c r="I486" s="47"/>
      <c r="J486" s="251" t="s">
        <v>409</v>
      </c>
      <c r="K486" s="48" t="s">
        <v>43</v>
      </c>
      <c r="L486" s="331" t="s">
        <v>17</v>
      </c>
      <c r="M486" s="363" t="s">
        <v>26</v>
      </c>
      <c r="N486" s="73"/>
      <c r="O486" s="47">
        <v>1</v>
      </c>
      <c r="P486" s="362"/>
      <c r="Q486" s="61"/>
      <c r="R486" s="222">
        <f t="shared" si="132"/>
        <v>2</v>
      </c>
      <c r="S486" s="232"/>
    </row>
    <row r="487" spans="1:19" ht="15.75" customHeight="1" x14ac:dyDescent="0.25">
      <c r="A487" s="448"/>
      <c r="B487" s="48" t="s">
        <v>59</v>
      </c>
      <c r="C487" s="18" t="s">
        <v>23</v>
      </c>
      <c r="D487" s="19" t="s">
        <v>36</v>
      </c>
      <c r="E487" s="37" t="s">
        <v>51</v>
      </c>
      <c r="F487" s="19" t="s">
        <v>18</v>
      </c>
      <c r="G487" s="47"/>
      <c r="H487" s="47">
        <v>2</v>
      </c>
      <c r="I487" s="47"/>
      <c r="J487" s="251" t="s">
        <v>409</v>
      </c>
      <c r="K487" s="48" t="s">
        <v>43</v>
      </c>
      <c r="L487" s="331" t="s">
        <v>17</v>
      </c>
      <c r="M487" s="363" t="s">
        <v>26</v>
      </c>
      <c r="N487" s="73"/>
      <c r="O487" s="47"/>
      <c r="P487" s="362">
        <v>1</v>
      </c>
      <c r="Q487" s="61"/>
      <c r="R487" s="222"/>
      <c r="S487" s="232">
        <f t="shared" si="132"/>
        <v>2</v>
      </c>
    </row>
    <row r="488" spans="1:19" ht="30" x14ac:dyDescent="0.25">
      <c r="A488" s="446">
        <v>9</v>
      </c>
      <c r="B488" s="48" t="s">
        <v>192</v>
      </c>
      <c r="C488" s="18" t="s">
        <v>23</v>
      </c>
      <c r="D488" s="19" t="s">
        <v>36</v>
      </c>
      <c r="E488" s="37" t="s">
        <v>51</v>
      </c>
      <c r="F488" s="19" t="s">
        <v>17</v>
      </c>
      <c r="G488" s="47">
        <v>2</v>
      </c>
      <c r="H488" s="25"/>
      <c r="I488" s="47"/>
      <c r="J488" s="54" t="s">
        <v>464</v>
      </c>
      <c r="K488" s="55" t="s">
        <v>82</v>
      </c>
      <c r="L488" s="45" t="s">
        <v>284</v>
      </c>
      <c r="M488" s="152" t="s">
        <v>301</v>
      </c>
      <c r="N488" s="73"/>
      <c r="O488" s="47">
        <v>1</v>
      </c>
      <c r="P488" s="362"/>
      <c r="Q488" s="61"/>
      <c r="R488" s="222">
        <f t="shared" si="132"/>
        <v>2</v>
      </c>
      <c r="S488" s="232"/>
    </row>
    <row r="489" spans="1:19" ht="30" x14ac:dyDescent="0.25">
      <c r="A489" s="448"/>
      <c r="B489" s="48" t="s">
        <v>192</v>
      </c>
      <c r="C489" s="18" t="s">
        <v>23</v>
      </c>
      <c r="D489" s="19" t="s">
        <v>36</v>
      </c>
      <c r="E489" s="19" t="s">
        <v>51</v>
      </c>
      <c r="F489" s="19" t="s">
        <v>18</v>
      </c>
      <c r="G489" s="47"/>
      <c r="H489" s="47">
        <v>3</v>
      </c>
      <c r="I489" s="47"/>
      <c r="J489" s="54" t="s">
        <v>464</v>
      </c>
      <c r="K489" s="55" t="s">
        <v>82</v>
      </c>
      <c r="L489" s="45" t="s">
        <v>284</v>
      </c>
      <c r="M489" s="152" t="s">
        <v>301</v>
      </c>
      <c r="N489" s="73"/>
      <c r="O489" s="47"/>
      <c r="P489" s="362">
        <v>1</v>
      </c>
      <c r="Q489" s="61"/>
      <c r="R489" s="222"/>
      <c r="S489" s="232">
        <f t="shared" si="132"/>
        <v>3</v>
      </c>
    </row>
    <row r="490" spans="1:19" x14ac:dyDescent="0.25">
      <c r="A490" s="446">
        <v>10</v>
      </c>
      <c r="B490" s="48" t="s">
        <v>60</v>
      </c>
      <c r="C490" s="18" t="s">
        <v>23</v>
      </c>
      <c r="D490" s="19" t="s">
        <v>36</v>
      </c>
      <c r="E490" s="37" t="s">
        <v>51</v>
      </c>
      <c r="F490" s="19" t="s">
        <v>17</v>
      </c>
      <c r="G490" s="47">
        <v>3</v>
      </c>
      <c r="H490" s="22"/>
      <c r="I490" s="47"/>
      <c r="J490" s="48" t="s">
        <v>447</v>
      </c>
      <c r="K490" s="251" t="s">
        <v>28</v>
      </c>
      <c r="L490" s="47" t="s">
        <v>17</v>
      </c>
      <c r="M490" s="48" t="s">
        <v>26</v>
      </c>
      <c r="N490" s="73"/>
      <c r="O490" s="47">
        <v>1</v>
      </c>
      <c r="P490" s="362"/>
      <c r="Q490" s="61"/>
      <c r="R490" s="222">
        <f t="shared" si="132"/>
        <v>3</v>
      </c>
      <c r="S490" s="232"/>
    </row>
    <row r="491" spans="1:19" x14ac:dyDescent="0.25">
      <c r="A491" s="448"/>
      <c r="B491" s="48" t="s">
        <v>60</v>
      </c>
      <c r="C491" s="18" t="s">
        <v>23</v>
      </c>
      <c r="D491" s="19" t="s">
        <v>36</v>
      </c>
      <c r="E491" s="37" t="s">
        <v>51</v>
      </c>
      <c r="F491" s="21" t="s">
        <v>18</v>
      </c>
      <c r="G491" s="367"/>
      <c r="H491" s="367">
        <v>3</v>
      </c>
      <c r="I491" s="367"/>
      <c r="J491" s="48" t="s">
        <v>447</v>
      </c>
      <c r="K491" s="251" t="s">
        <v>28</v>
      </c>
      <c r="L491" s="367" t="s">
        <v>17</v>
      </c>
      <c r="M491" s="48" t="s">
        <v>26</v>
      </c>
      <c r="N491" s="73"/>
      <c r="O491" s="47"/>
      <c r="P491" s="362">
        <v>1</v>
      </c>
      <c r="Q491" s="61"/>
      <c r="R491" s="222"/>
      <c r="S491" s="232">
        <f t="shared" si="132"/>
        <v>3</v>
      </c>
    </row>
    <row r="492" spans="1:19" x14ac:dyDescent="0.25">
      <c r="A492" s="434">
        <v>12</v>
      </c>
      <c r="B492" s="48" t="s">
        <v>193</v>
      </c>
      <c r="C492" s="18" t="s">
        <v>23</v>
      </c>
      <c r="D492" s="19" t="s">
        <v>36</v>
      </c>
      <c r="E492" s="37" t="s">
        <v>51</v>
      </c>
      <c r="F492" s="19" t="s">
        <v>17</v>
      </c>
      <c r="G492" s="47">
        <v>2</v>
      </c>
      <c r="H492" s="38"/>
      <c r="I492" s="47"/>
      <c r="J492" s="55" t="s">
        <v>466</v>
      </c>
      <c r="K492" s="48" t="s">
        <v>564</v>
      </c>
      <c r="L492" s="47" t="s">
        <v>17</v>
      </c>
      <c r="M492" s="48" t="s">
        <v>26</v>
      </c>
      <c r="N492" s="73"/>
      <c r="O492" s="47">
        <v>1</v>
      </c>
      <c r="P492" s="362"/>
      <c r="Q492" s="61"/>
      <c r="R492" s="222">
        <f t="shared" si="132"/>
        <v>2</v>
      </c>
      <c r="S492" s="232"/>
    </row>
    <row r="493" spans="1:19" x14ac:dyDescent="0.25">
      <c r="A493" s="435"/>
      <c r="B493" s="48" t="s">
        <v>193</v>
      </c>
      <c r="C493" s="18" t="s">
        <v>23</v>
      </c>
      <c r="D493" s="19" t="s">
        <v>36</v>
      </c>
      <c r="E493" s="37" t="s">
        <v>51</v>
      </c>
      <c r="F493" s="19" t="s">
        <v>18</v>
      </c>
      <c r="G493" s="47"/>
      <c r="H493" s="47">
        <v>1</v>
      </c>
      <c r="I493" s="47"/>
      <c r="J493" s="251" t="s">
        <v>547</v>
      </c>
      <c r="K493" s="251" t="s">
        <v>43</v>
      </c>
      <c r="L493" s="331" t="s">
        <v>37</v>
      </c>
      <c r="M493" s="251"/>
      <c r="N493" s="73"/>
      <c r="O493" s="47"/>
      <c r="P493" s="362">
        <v>1</v>
      </c>
      <c r="Q493" s="61"/>
      <c r="R493" s="222"/>
      <c r="S493" s="232">
        <f t="shared" si="132"/>
        <v>1</v>
      </c>
    </row>
    <row r="494" spans="1:19" x14ac:dyDescent="0.25">
      <c r="A494" s="435"/>
      <c r="B494" s="48" t="s">
        <v>44</v>
      </c>
      <c r="C494" s="18" t="s">
        <v>23</v>
      </c>
      <c r="D494" s="19" t="s">
        <v>36</v>
      </c>
      <c r="E494" s="37" t="s">
        <v>51</v>
      </c>
      <c r="F494" s="19" t="s">
        <v>17</v>
      </c>
      <c r="G494" s="47">
        <v>2</v>
      </c>
      <c r="H494" s="23"/>
      <c r="I494" s="47"/>
      <c r="J494" s="48" t="s">
        <v>465</v>
      </c>
      <c r="K494" s="48" t="s">
        <v>82</v>
      </c>
      <c r="L494" s="47" t="s">
        <v>17</v>
      </c>
      <c r="M494" s="48" t="s">
        <v>26</v>
      </c>
      <c r="N494" s="73"/>
      <c r="O494" s="47">
        <v>1</v>
      </c>
      <c r="P494" s="362"/>
      <c r="Q494" s="61"/>
      <c r="R494" s="222">
        <f t="shared" ref="R494" si="139">G494*O494</f>
        <v>2</v>
      </c>
      <c r="S494" s="232"/>
    </row>
    <row r="495" spans="1:19" x14ac:dyDescent="0.25">
      <c r="A495" s="435"/>
      <c r="B495" s="48" t="s">
        <v>44</v>
      </c>
      <c r="C495" s="18" t="s">
        <v>23</v>
      </c>
      <c r="D495" s="19" t="s">
        <v>36</v>
      </c>
      <c r="E495" s="37" t="s">
        <v>51</v>
      </c>
      <c r="F495" s="19" t="s">
        <v>18</v>
      </c>
      <c r="G495" s="47"/>
      <c r="H495" s="47">
        <v>1</v>
      </c>
      <c r="I495" s="47"/>
      <c r="J495" s="48" t="s">
        <v>465</v>
      </c>
      <c r="K495" s="48" t="s">
        <v>82</v>
      </c>
      <c r="L495" s="47" t="s">
        <v>17</v>
      </c>
      <c r="M495" s="48" t="s">
        <v>26</v>
      </c>
      <c r="N495" s="73"/>
      <c r="O495" s="47"/>
      <c r="P495" s="362">
        <v>1</v>
      </c>
      <c r="Q495" s="61"/>
      <c r="R495" s="222"/>
      <c r="S495" s="232">
        <f t="shared" ref="S495" si="140">H495*P495</f>
        <v>1</v>
      </c>
    </row>
    <row r="496" spans="1:19" x14ac:dyDescent="0.25">
      <c r="A496" s="435"/>
      <c r="B496" s="48" t="s">
        <v>194</v>
      </c>
      <c r="C496" s="18" t="s">
        <v>23</v>
      </c>
      <c r="D496" s="19" t="s">
        <v>36</v>
      </c>
      <c r="E496" s="37" t="s">
        <v>51</v>
      </c>
      <c r="F496" s="19" t="s">
        <v>17</v>
      </c>
      <c r="G496" s="47">
        <v>2</v>
      </c>
      <c r="H496" s="38"/>
      <c r="I496" s="47"/>
      <c r="J496" s="251" t="s">
        <v>409</v>
      </c>
      <c r="K496" s="48" t="s">
        <v>43</v>
      </c>
      <c r="L496" s="56" t="s">
        <v>37</v>
      </c>
      <c r="M496" s="48"/>
      <c r="N496" s="73"/>
      <c r="O496" s="47">
        <v>1</v>
      </c>
      <c r="P496" s="362"/>
      <c r="Q496" s="61"/>
      <c r="R496" s="222">
        <f t="shared" ref="R496" si="141">G496*O496</f>
        <v>2</v>
      </c>
      <c r="S496" s="232"/>
    </row>
    <row r="497" spans="1:19" x14ac:dyDescent="0.25">
      <c r="A497" s="435"/>
      <c r="B497" s="48" t="s">
        <v>194</v>
      </c>
      <c r="C497" s="18" t="s">
        <v>23</v>
      </c>
      <c r="D497" s="19" t="s">
        <v>36</v>
      </c>
      <c r="E497" s="37" t="s">
        <v>51</v>
      </c>
      <c r="F497" s="19" t="s">
        <v>18</v>
      </c>
      <c r="G497" s="47"/>
      <c r="H497" s="38">
        <v>1</v>
      </c>
      <c r="I497" s="47"/>
      <c r="J497" s="251" t="s">
        <v>409</v>
      </c>
      <c r="K497" s="48" t="s">
        <v>43</v>
      </c>
      <c r="L497" s="331" t="s">
        <v>17</v>
      </c>
      <c r="M497" s="363" t="s">
        <v>26</v>
      </c>
      <c r="N497" s="73"/>
      <c r="O497" s="47"/>
      <c r="P497" s="362">
        <v>1</v>
      </c>
      <c r="Q497" s="61"/>
      <c r="R497" s="222"/>
      <c r="S497" s="232">
        <f t="shared" ref="S497" si="142">H497*P497</f>
        <v>1</v>
      </c>
    </row>
    <row r="498" spans="1:19" x14ac:dyDescent="0.25">
      <c r="A498" s="435"/>
      <c r="B498" s="363" t="s">
        <v>189</v>
      </c>
      <c r="C498" s="48" t="s">
        <v>23</v>
      </c>
      <c r="D498" s="47" t="s">
        <v>36</v>
      </c>
      <c r="E498" s="37" t="s">
        <v>51</v>
      </c>
      <c r="F498" s="19" t="s">
        <v>17</v>
      </c>
      <c r="G498" s="47">
        <v>2</v>
      </c>
      <c r="H498" s="38"/>
      <c r="I498" s="47"/>
      <c r="J498" s="251" t="s">
        <v>407</v>
      </c>
      <c r="K498" s="48" t="s">
        <v>43</v>
      </c>
      <c r="L498" s="331" t="s">
        <v>17</v>
      </c>
      <c r="M498" s="363" t="s">
        <v>26</v>
      </c>
      <c r="N498" s="73"/>
      <c r="O498" s="47">
        <v>1</v>
      </c>
      <c r="P498" s="47"/>
      <c r="Q498" s="61"/>
      <c r="R498" s="222">
        <f t="shared" ref="R498" si="143">G498*O498</f>
        <v>2</v>
      </c>
      <c r="S498" s="155"/>
    </row>
    <row r="499" spans="1:19" x14ac:dyDescent="0.25">
      <c r="A499" s="435"/>
      <c r="B499" s="363" t="s">
        <v>189</v>
      </c>
      <c r="C499" s="48" t="s">
        <v>23</v>
      </c>
      <c r="D499" s="47" t="s">
        <v>36</v>
      </c>
      <c r="E499" s="37" t="s">
        <v>51</v>
      </c>
      <c r="F499" s="19" t="s">
        <v>18</v>
      </c>
      <c r="G499" s="47"/>
      <c r="H499" s="38">
        <v>1</v>
      </c>
      <c r="I499" s="47"/>
      <c r="J499" s="251" t="s">
        <v>407</v>
      </c>
      <c r="K499" s="48" t="s">
        <v>43</v>
      </c>
      <c r="L499" s="331" t="s">
        <v>17</v>
      </c>
      <c r="M499" s="363" t="s">
        <v>26</v>
      </c>
      <c r="N499" s="73"/>
      <c r="O499" s="47"/>
      <c r="P499" s="47">
        <v>1</v>
      </c>
      <c r="Q499" s="61"/>
      <c r="R499" s="222"/>
      <c r="S499" s="155">
        <f t="shared" ref="S499" si="144">H499*P499</f>
        <v>1</v>
      </c>
    </row>
    <row r="500" spans="1:19" ht="15.75" customHeight="1" x14ac:dyDescent="0.25">
      <c r="A500" s="435"/>
      <c r="B500" s="363" t="s">
        <v>431</v>
      </c>
      <c r="C500" s="48" t="s">
        <v>23</v>
      </c>
      <c r="D500" s="47" t="s">
        <v>36</v>
      </c>
      <c r="E500" s="37" t="s">
        <v>51</v>
      </c>
      <c r="F500" s="19" t="s">
        <v>17</v>
      </c>
      <c r="G500" s="47">
        <v>2</v>
      </c>
      <c r="H500" s="38"/>
      <c r="I500" s="47"/>
      <c r="J500" s="363" t="s">
        <v>467</v>
      </c>
      <c r="K500" s="251" t="s">
        <v>28</v>
      </c>
      <c r="L500" s="47" t="s">
        <v>17</v>
      </c>
      <c r="M500" s="48" t="s">
        <v>26</v>
      </c>
      <c r="N500" s="73"/>
      <c r="O500" s="47">
        <v>1</v>
      </c>
      <c r="P500" s="47"/>
      <c r="Q500" s="61"/>
      <c r="R500" s="222">
        <f t="shared" ref="R500" si="145">G500*O500</f>
        <v>2</v>
      </c>
      <c r="S500" s="155"/>
    </row>
    <row r="501" spans="1:19" s="61" customFormat="1" ht="15.75" customHeight="1" x14ac:dyDescent="0.25">
      <c r="A501" s="435"/>
      <c r="B501" s="363" t="s">
        <v>431</v>
      </c>
      <c r="C501" s="48" t="s">
        <v>23</v>
      </c>
      <c r="D501" s="47" t="s">
        <v>36</v>
      </c>
      <c r="E501" s="37" t="s">
        <v>51</v>
      </c>
      <c r="F501" s="19" t="s">
        <v>18</v>
      </c>
      <c r="G501" s="47"/>
      <c r="H501" s="38">
        <v>1</v>
      </c>
      <c r="I501" s="47"/>
      <c r="J501" s="363" t="s">
        <v>467</v>
      </c>
      <c r="K501" s="251" t="s">
        <v>28</v>
      </c>
      <c r="L501" s="47" t="s">
        <v>17</v>
      </c>
      <c r="M501" s="48" t="s">
        <v>26</v>
      </c>
      <c r="N501" s="73"/>
      <c r="O501" s="47"/>
      <c r="P501" s="47">
        <v>1</v>
      </c>
      <c r="R501" s="222"/>
      <c r="S501" s="155">
        <f t="shared" ref="S501" si="146">H501*P501</f>
        <v>1</v>
      </c>
    </row>
    <row r="502" spans="1:19" ht="15.75" customHeight="1" x14ac:dyDescent="0.25">
      <c r="A502" s="435"/>
      <c r="B502" s="48" t="s">
        <v>430</v>
      </c>
      <c r="C502" s="18" t="s">
        <v>23</v>
      </c>
      <c r="D502" s="19" t="s">
        <v>36</v>
      </c>
      <c r="E502" s="37" t="s">
        <v>51</v>
      </c>
      <c r="F502" s="19" t="s">
        <v>17</v>
      </c>
      <c r="G502" s="47">
        <v>2</v>
      </c>
      <c r="H502" s="38"/>
      <c r="I502" s="47"/>
      <c r="J502" s="133" t="s">
        <v>450</v>
      </c>
      <c r="K502" s="48" t="s">
        <v>564</v>
      </c>
      <c r="L502" s="47" t="s">
        <v>17</v>
      </c>
      <c r="M502" s="359" t="s">
        <v>26</v>
      </c>
      <c r="N502" s="73"/>
      <c r="O502" s="47">
        <v>0</v>
      </c>
      <c r="P502" s="362"/>
      <c r="Q502" s="61"/>
      <c r="R502" s="222">
        <f t="shared" ref="R502" si="147">G502*O502</f>
        <v>0</v>
      </c>
      <c r="S502" s="232"/>
    </row>
    <row r="503" spans="1:19" ht="26.25" customHeight="1" x14ac:dyDescent="0.25">
      <c r="A503" s="435"/>
      <c r="B503" s="48" t="s">
        <v>430</v>
      </c>
      <c r="C503" s="18" t="s">
        <v>23</v>
      </c>
      <c r="D503" s="19" t="s">
        <v>36</v>
      </c>
      <c r="E503" s="37" t="s">
        <v>51</v>
      </c>
      <c r="F503" s="19" t="s">
        <v>18</v>
      </c>
      <c r="G503" s="47"/>
      <c r="H503" s="23">
        <v>1</v>
      </c>
      <c r="I503" s="47"/>
      <c r="J503" s="133" t="s">
        <v>450</v>
      </c>
      <c r="K503" s="48" t="s">
        <v>564</v>
      </c>
      <c r="L503" s="47" t="s">
        <v>17</v>
      </c>
      <c r="M503" s="359" t="s">
        <v>26</v>
      </c>
      <c r="N503" s="73"/>
      <c r="O503" s="47"/>
      <c r="P503" s="362">
        <v>0</v>
      </c>
      <c r="Q503" s="61"/>
      <c r="R503" s="222"/>
      <c r="S503" s="232">
        <f t="shared" ref="S503" si="148">H503*P503</f>
        <v>0</v>
      </c>
    </row>
    <row r="504" spans="1:19" ht="18" customHeight="1" x14ac:dyDescent="0.25">
      <c r="A504" s="446">
        <v>13</v>
      </c>
      <c r="B504" s="48" t="s">
        <v>207</v>
      </c>
      <c r="C504" s="18" t="s">
        <v>23</v>
      </c>
      <c r="D504" s="19" t="s">
        <v>36</v>
      </c>
      <c r="E504" s="37" t="s">
        <v>51</v>
      </c>
      <c r="F504" s="19" t="s">
        <v>17</v>
      </c>
      <c r="G504" s="47">
        <v>0</v>
      </c>
      <c r="H504" s="22"/>
      <c r="I504" s="47"/>
      <c r="J504" s="48" t="s">
        <v>461</v>
      </c>
      <c r="K504" s="48" t="s">
        <v>82</v>
      </c>
      <c r="L504" s="47" t="s">
        <v>17</v>
      </c>
      <c r="M504" s="48" t="s">
        <v>26</v>
      </c>
      <c r="N504" s="73"/>
      <c r="O504" s="47">
        <v>0</v>
      </c>
      <c r="P504" s="362"/>
      <c r="Q504" s="61"/>
      <c r="R504" s="222">
        <f t="shared" si="132"/>
        <v>0</v>
      </c>
      <c r="S504" s="232"/>
    </row>
    <row r="505" spans="1:19" ht="26.25" customHeight="1" x14ac:dyDescent="0.25">
      <c r="A505" s="448"/>
      <c r="B505" s="48" t="s">
        <v>207</v>
      </c>
      <c r="C505" s="18" t="s">
        <v>23</v>
      </c>
      <c r="D505" s="19" t="s">
        <v>36</v>
      </c>
      <c r="E505" s="37" t="s">
        <v>51</v>
      </c>
      <c r="F505" s="21" t="s">
        <v>18</v>
      </c>
      <c r="G505" s="367"/>
      <c r="H505" s="367">
        <v>2</v>
      </c>
      <c r="I505" s="367"/>
      <c r="J505" s="48" t="s">
        <v>461</v>
      </c>
      <c r="K505" s="48" t="s">
        <v>82</v>
      </c>
      <c r="L505" s="47" t="s">
        <v>17</v>
      </c>
      <c r="M505" s="48" t="s">
        <v>26</v>
      </c>
      <c r="N505" s="73"/>
      <c r="O505" s="47"/>
      <c r="P505" s="362">
        <v>1</v>
      </c>
      <c r="Q505" s="61"/>
      <c r="R505" s="222"/>
      <c r="S505" s="232">
        <f t="shared" si="132"/>
        <v>2</v>
      </c>
    </row>
    <row r="506" spans="1:19" ht="25.5" x14ac:dyDescent="0.25">
      <c r="A506" s="446">
        <v>15</v>
      </c>
      <c r="B506" s="359" t="s">
        <v>468</v>
      </c>
      <c r="C506" s="18" t="s">
        <v>23</v>
      </c>
      <c r="D506" s="19" t="s">
        <v>46</v>
      </c>
      <c r="E506" s="236" t="s">
        <v>25</v>
      </c>
      <c r="F506" s="19" t="s">
        <v>17</v>
      </c>
      <c r="G506" s="47">
        <v>2</v>
      </c>
      <c r="H506" s="23"/>
      <c r="I506" s="47"/>
      <c r="J506" s="251" t="s">
        <v>469</v>
      </c>
      <c r="K506" s="365" t="s">
        <v>28</v>
      </c>
      <c r="L506" s="73" t="s">
        <v>17</v>
      </c>
      <c r="M506" s="74" t="s">
        <v>26</v>
      </c>
      <c r="N506" s="73"/>
      <c r="O506" s="47">
        <v>1</v>
      </c>
      <c r="P506" s="47"/>
      <c r="Q506" s="61"/>
      <c r="R506" s="222">
        <f t="shared" ref="R506" si="149">G506*O506</f>
        <v>2</v>
      </c>
      <c r="S506" s="232"/>
    </row>
    <row r="507" spans="1:19" ht="25.5" x14ac:dyDescent="0.25">
      <c r="A507" s="448"/>
      <c r="B507" s="359" t="s">
        <v>468</v>
      </c>
      <c r="C507" s="18" t="s">
        <v>23</v>
      </c>
      <c r="D507" s="19" t="s">
        <v>46</v>
      </c>
      <c r="E507" s="236" t="s">
        <v>25</v>
      </c>
      <c r="F507" s="19" t="s">
        <v>18</v>
      </c>
      <c r="G507" s="47"/>
      <c r="H507" s="47">
        <v>2</v>
      </c>
      <c r="I507" s="47"/>
      <c r="J507" s="251" t="s">
        <v>469</v>
      </c>
      <c r="K507" s="365" t="s">
        <v>28</v>
      </c>
      <c r="L507" s="73" t="s">
        <v>17</v>
      </c>
      <c r="M507" s="74" t="s">
        <v>26</v>
      </c>
      <c r="N507" s="73"/>
      <c r="O507" s="47"/>
      <c r="P507" s="47">
        <v>1</v>
      </c>
      <c r="Q507" s="61"/>
      <c r="R507" s="222"/>
      <c r="S507" s="232">
        <f t="shared" ref="S507" si="150">H507*P507</f>
        <v>2</v>
      </c>
    </row>
    <row r="508" spans="1:19" s="61" customFormat="1" ht="25.5" x14ac:dyDescent="0.25">
      <c r="A508" s="446">
        <v>16</v>
      </c>
      <c r="B508" s="48" t="s">
        <v>517</v>
      </c>
      <c r="C508" s="18" t="s">
        <v>23</v>
      </c>
      <c r="D508" s="19" t="s">
        <v>46</v>
      </c>
      <c r="E508" s="37" t="s">
        <v>51</v>
      </c>
      <c r="F508" s="19" t="s">
        <v>17</v>
      </c>
      <c r="G508" s="47">
        <v>2</v>
      </c>
      <c r="H508" s="23"/>
      <c r="I508" s="47"/>
      <c r="J508" s="48" t="s">
        <v>485</v>
      </c>
      <c r="K508" s="363" t="s">
        <v>82</v>
      </c>
      <c r="L508" s="331" t="s">
        <v>17</v>
      </c>
      <c r="M508" s="363" t="s">
        <v>26</v>
      </c>
      <c r="N508" s="73"/>
      <c r="O508" s="47">
        <v>1</v>
      </c>
      <c r="P508" s="362"/>
      <c r="R508" s="222">
        <f t="shared" si="132"/>
        <v>2</v>
      </c>
      <c r="S508" s="232"/>
    </row>
    <row r="509" spans="1:19" s="61" customFormat="1" ht="25.5" x14ac:dyDescent="0.25">
      <c r="A509" s="448"/>
      <c r="B509" s="48" t="s">
        <v>517</v>
      </c>
      <c r="C509" s="18" t="s">
        <v>23</v>
      </c>
      <c r="D509" s="19" t="s">
        <v>46</v>
      </c>
      <c r="E509" s="37" t="s">
        <v>51</v>
      </c>
      <c r="F509" s="19" t="s">
        <v>18</v>
      </c>
      <c r="G509" s="47"/>
      <c r="H509" s="47">
        <v>2</v>
      </c>
      <c r="I509" s="47"/>
      <c r="J509" s="48" t="s">
        <v>485</v>
      </c>
      <c r="K509" s="363" t="s">
        <v>82</v>
      </c>
      <c r="L509" s="331" t="s">
        <v>17</v>
      </c>
      <c r="M509" s="363" t="s">
        <v>26</v>
      </c>
      <c r="N509" s="73"/>
      <c r="O509" s="47"/>
      <c r="P509" s="362">
        <v>1</v>
      </c>
      <c r="Q509" s="62"/>
      <c r="R509" s="222"/>
      <c r="S509" s="232">
        <f t="shared" si="132"/>
        <v>2</v>
      </c>
    </row>
    <row r="510" spans="1:19" s="61" customFormat="1" ht="38.25" x14ac:dyDescent="0.25">
      <c r="A510" s="446">
        <v>17</v>
      </c>
      <c r="B510" s="359" t="s">
        <v>470</v>
      </c>
      <c r="C510" s="18" t="s">
        <v>23</v>
      </c>
      <c r="D510" s="19" t="s">
        <v>46</v>
      </c>
      <c r="E510" s="19" t="s">
        <v>51</v>
      </c>
      <c r="F510" s="19" t="s">
        <v>17</v>
      </c>
      <c r="G510" s="47">
        <v>2</v>
      </c>
      <c r="H510" s="22"/>
      <c r="I510" s="47"/>
      <c r="J510" s="363" t="s">
        <v>459</v>
      </c>
      <c r="K510" s="48" t="s">
        <v>82</v>
      </c>
      <c r="L510" s="331" t="s">
        <v>17</v>
      </c>
      <c r="M510" s="363" t="s">
        <v>26</v>
      </c>
      <c r="N510" s="73"/>
      <c r="O510" s="47">
        <v>1</v>
      </c>
      <c r="P510" s="362"/>
      <c r="R510" s="222">
        <f t="shared" si="132"/>
        <v>2</v>
      </c>
      <c r="S510" s="232"/>
    </row>
    <row r="511" spans="1:19" s="61" customFormat="1" ht="38.25" x14ac:dyDescent="0.25">
      <c r="A511" s="448"/>
      <c r="B511" s="359" t="s">
        <v>470</v>
      </c>
      <c r="C511" s="18" t="s">
        <v>23</v>
      </c>
      <c r="D511" s="19" t="s">
        <v>46</v>
      </c>
      <c r="E511" s="37" t="s">
        <v>51</v>
      </c>
      <c r="F511" s="19" t="s">
        <v>18</v>
      </c>
      <c r="G511" s="47"/>
      <c r="H511" s="47">
        <v>2</v>
      </c>
      <c r="I511" s="47"/>
      <c r="J511" s="414" t="s">
        <v>459</v>
      </c>
      <c r="K511" s="412" t="s">
        <v>82</v>
      </c>
      <c r="L511" s="331" t="s">
        <v>17</v>
      </c>
      <c r="M511" s="414" t="s">
        <v>26</v>
      </c>
      <c r="N511" s="73"/>
      <c r="O511" s="47"/>
      <c r="P511" s="362">
        <v>1</v>
      </c>
      <c r="R511" s="222"/>
      <c r="S511" s="232">
        <f t="shared" si="132"/>
        <v>2</v>
      </c>
    </row>
    <row r="512" spans="1:19" s="61" customFormat="1" ht="25.5" x14ac:dyDescent="0.25">
      <c r="A512" s="452">
        <v>18</v>
      </c>
      <c r="B512" s="363" t="s">
        <v>208</v>
      </c>
      <c r="C512" s="48" t="s">
        <v>23</v>
      </c>
      <c r="D512" s="47" t="s">
        <v>46</v>
      </c>
      <c r="E512" s="37" t="s">
        <v>51</v>
      </c>
      <c r="F512" s="34" t="s">
        <v>17</v>
      </c>
      <c r="G512" s="34">
        <v>2</v>
      </c>
      <c r="H512" s="34"/>
      <c r="I512" s="34"/>
      <c r="J512" s="251" t="s">
        <v>471</v>
      </c>
      <c r="K512" s="55" t="s">
        <v>43</v>
      </c>
      <c r="L512" s="122" t="s">
        <v>37</v>
      </c>
      <c r="M512" s="55" t="s">
        <v>402</v>
      </c>
      <c r="N512" s="73"/>
      <c r="O512" s="47">
        <v>1</v>
      </c>
      <c r="P512" s="362"/>
      <c r="R512" s="222">
        <f t="shared" ref="R512:R514" si="151">G512*O512</f>
        <v>2</v>
      </c>
      <c r="S512" s="232"/>
    </row>
    <row r="513" spans="1:19" s="61" customFormat="1" ht="15.75" customHeight="1" x14ac:dyDescent="0.25">
      <c r="A513" s="448"/>
      <c r="B513" s="363" t="s">
        <v>208</v>
      </c>
      <c r="C513" s="48" t="s">
        <v>23</v>
      </c>
      <c r="D513" s="47" t="s">
        <v>46</v>
      </c>
      <c r="E513" s="37" t="s">
        <v>51</v>
      </c>
      <c r="F513" s="34" t="s">
        <v>18</v>
      </c>
      <c r="G513" s="34"/>
      <c r="H513" s="34">
        <v>1</v>
      </c>
      <c r="I513" s="34"/>
      <c r="J513" s="251" t="s">
        <v>384</v>
      </c>
      <c r="K513" s="363" t="s">
        <v>31</v>
      </c>
      <c r="L513" s="47" t="s">
        <v>17</v>
      </c>
      <c r="M513" s="48" t="s">
        <v>26</v>
      </c>
      <c r="N513" s="73"/>
      <c r="O513" s="47"/>
      <c r="P513" s="362">
        <v>1</v>
      </c>
      <c r="R513" s="222"/>
      <c r="S513" s="232">
        <f t="shared" ref="S513:S515" si="152">H513*P513</f>
        <v>1</v>
      </c>
    </row>
    <row r="514" spans="1:19" s="61" customFormat="1" x14ac:dyDescent="0.25">
      <c r="A514" s="478">
        <v>19</v>
      </c>
      <c r="B514" s="363" t="s">
        <v>202</v>
      </c>
      <c r="C514" s="239" t="s">
        <v>23</v>
      </c>
      <c r="D514" s="334" t="s">
        <v>46</v>
      </c>
      <c r="E514" s="240" t="s">
        <v>51</v>
      </c>
      <c r="F514" s="334" t="s">
        <v>17</v>
      </c>
      <c r="G514" s="334">
        <v>2</v>
      </c>
      <c r="H514" s="241"/>
      <c r="I514" s="242"/>
      <c r="J514" s="363" t="s">
        <v>472</v>
      </c>
      <c r="K514" s="363" t="s">
        <v>82</v>
      </c>
      <c r="L514" s="331" t="s">
        <v>17</v>
      </c>
      <c r="M514" s="363" t="s">
        <v>26</v>
      </c>
      <c r="N514" s="73"/>
      <c r="O514" s="47">
        <v>1</v>
      </c>
      <c r="P514" s="47"/>
      <c r="R514" s="222">
        <f t="shared" si="151"/>
        <v>2</v>
      </c>
      <c r="S514" s="155"/>
    </row>
    <row r="515" spans="1:19" s="61" customFormat="1" x14ac:dyDescent="0.25">
      <c r="A515" s="518"/>
      <c r="B515" s="363" t="s">
        <v>202</v>
      </c>
      <c r="C515" s="239" t="s">
        <v>23</v>
      </c>
      <c r="D515" s="334" t="s">
        <v>46</v>
      </c>
      <c r="E515" s="240" t="s">
        <v>51</v>
      </c>
      <c r="F515" s="334" t="s">
        <v>18</v>
      </c>
      <c r="G515" s="334"/>
      <c r="H515" s="334">
        <v>0</v>
      </c>
      <c r="I515" s="242"/>
      <c r="J515" s="363" t="s">
        <v>472</v>
      </c>
      <c r="K515" s="363" t="s">
        <v>82</v>
      </c>
      <c r="L515" s="331" t="s">
        <v>17</v>
      </c>
      <c r="M515" s="363" t="s">
        <v>26</v>
      </c>
      <c r="N515" s="73"/>
      <c r="O515" s="47"/>
      <c r="P515" s="47">
        <v>1</v>
      </c>
      <c r="R515" s="222"/>
      <c r="S515" s="155">
        <f t="shared" si="152"/>
        <v>0</v>
      </c>
    </row>
    <row r="516" spans="1:19" s="61" customFormat="1" x14ac:dyDescent="0.25">
      <c r="A516" s="446">
        <v>20</v>
      </c>
      <c r="B516" s="18" t="s">
        <v>47</v>
      </c>
      <c r="C516" s="18" t="s">
        <v>23</v>
      </c>
      <c r="D516" s="19" t="s">
        <v>46</v>
      </c>
      <c r="E516" s="37" t="s">
        <v>51</v>
      </c>
      <c r="F516" s="47" t="s">
        <v>17</v>
      </c>
      <c r="G516" s="47">
        <v>2</v>
      </c>
      <c r="H516" s="47"/>
      <c r="I516" s="47"/>
      <c r="J516" s="48" t="s">
        <v>465</v>
      </c>
      <c r="K516" s="48" t="s">
        <v>82</v>
      </c>
      <c r="L516" s="47" t="s">
        <v>17</v>
      </c>
      <c r="M516" s="48" t="s">
        <v>26</v>
      </c>
      <c r="N516" s="73"/>
      <c r="O516" s="47">
        <v>1</v>
      </c>
      <c r="P516" s="362"/>
      <c r="R516" s="222">
        <f t="shared" si="132"/>
        <v>2</v>
      </c>
      <c r="S516" s="232"/>
    </row>
    <row r="517" spans="1:19" s="61" customFormat="1" x14ac:dyDescent="0.25">
      <c r="A517" s="447"/>
      <c r="B517" s="18" t="s">
        <v>47</v>
      </c>
      <c r="C517" s="18" t="s">
        <v>23</v>
      </c>
      <c r="D517" s="19" t="s">
        <v>46</v>
      </c>
      <c r="E517" s="37" t="s">
        <v>51</v>
      </c>
      <c r="F517" s="47" t="s">
        <v>18</v>
      </c>
      <c r="G517" s="47"/>
      <c r="H517" s="47">
        <v>1</v>
      </c>
      <c r="I517" s="47"/>
      <c r="J517" s="48" t="s">
        <v>465</v>
      </c>
      <c r="K517" s="48" t="s">
        <v>82</v>
      </c>
      <c r="L517" s="47" t="s">
        <v>17</v>
      </c>
      <c r="M517" s="48" t="s">
        <v>26</v>
      </c>
      <c r="N517" s="73"/>
      <c r="O517" s="47"/>
      <c r="P517" s="362">
        <v>1</v>
      </c>
      <c r="R517" s="222"/>
      <c r="S517" s="232">
        <f t="shared" si="132"/>
        <v>1</v>
      </c>
    </row>
    <row r="518" spans="1:19" s="61" customFormat="1" x14ac:dyDescent="0.25">
      <c r="A518" s="447"/>
      <c r="B518" s="18" t="s">
        <v>209</v>
      </c>
      <c r="C518" s="18" t="s">
        <v>23</v>
      </c>
      <c r="D518" s="19" t="s">
        <v>46</v>
      </c>
      <c r="E518" s="37" t="s">
        <v>51</v>
      </c>
      <c r="F518" s="47" t="s">
        <v>17</v>
      </c>
      <c r="G518" s="47">
        <v>2</v>
      </c>
      <c r="H518" s="47"/>
      <c r="I518" s="47"/>
      <c r="J518" s="363" t="s">
        <v>457</v>
      </c>
      <c r="K518" s="363" t="s">
        <v>43</v>
      </c>
      <c r="L518" s="47" t="s">
        <v>17</v>
      </c>
      <c r="M518" s="48" t="s">
        <v>26</v>
      </c>
      <c r="N518" s="73"/>
      <c r="O518" s="47">
        <v>1</v>
      </c>
      <c r="P518" s="362"/>
      <c r="R518" s="222">
        <f t="shared" ref="R518" si="153">G518*O518</f>
        <v>2</v>
      </c>
      <c r="S518" s="232"/>
    </row>
    <row r="519" spans="1:19" s="61" customFormat="1" x14ac:dyDescent="0.25">
      <c r="A519" s="447"/>
      <c r="B519" s="26" t="s">
        <v>209</v>
      </c>
      <c r="C519" s="26" t="s">
        <v>23</v>
      </c>
      <c r="D519" s="19" t="s">
        <v>46</v>
      </c>
      <c r="E519" s="37" t="s">
        <v>51</v>
      </c>
      <c r="F519" s="47" t="s">
        <v>18</v>
      </c>
      <c r="G519" s="47"/>
      <c r="H519" s="47">
        <v>1</v>
      </c>
      <c r="I519" s="47"/>
      <c r="J519" s="363" t="s">
        <v>457</v>
      </c>
      <c r="K519" s="363" t="s">
        <v>43</v>
      </c>
      <c r="L519" s="331" t="s">
        <v>17</v>
      </c>
      <c r="M519" s="363" t="s">
        <v>26</v>
      </c>
      <c r="N519" s="73"/>
      <c r="O519" s="47"/>
      <c r="P519" s="362">
        <v>1</v>
      </c>
      <c r="R519" s="222"/>
      <c r="S519" s="232">
        <f t="shared" ref="S519" si="154">H519*P519</f>
        <v>1</v>
      </c>
    </row>
    <row r="520" spans="1:19" s="61" customFormat="1" ht="25.5" x14ac:dyDescent="0.25">
      <c r="A520" s="447"/>
      <c r="B520" s="18" t="s">
        <v>473</v>
      </c>
      <c r="C520" s="18" t="s">
        <v>23</v>
      </c>
      <c r="D520" s="19" t="s">
        <v>46</v>
      </c>
      <c r="E520" s="37" t="s">
        <v>51</v>
      </c>
      <c r="F520" s="47" t="s">
        <v>17</v>
      </c>
      <c r="G520" s="47">
        <v>2</v>
      </c>
      <c r="H520" s="47"/>
      <c r="I520" s="47"/>
      <c r="J520" s="55" t="s">
        <v>451</v>
      </c>
      <c r="K520" s="298" t="s">
        <v>28</v>
      </c>
      <c r="L520" s="73" t="s">
        <v>17</v>
      </c>
      <c r="M520" s="55" t="s">
        <v>26</v>
      </c>
      <c r="N520" s="73"/>
      <c r="O520" s="47">
        <v>0</v>
      </c>
      <c r="P520" s="362"/>
      <c r="R520" s="222">
        <f t="shared" ref="R520" si="155">G520*O520</f>
        <v>0</v>
      </c>
      <c r="S520" s="232"/>
    </row>
    <row r="521" spans="1:19" s="61" customFormat="1" ht="25.5" x14ac:dyDescent="0.25">
      <c r="A521" s="447"/>
      <c r="B521" s="18" t="s">
        <v>473</v>
      </c>
      <c r="C521" s="26" t="s">
        <v>23</v>
      </c>
      <c r="D521" s="19" t="s">
        <v>46</v>
      </c>
      <c r="E521" s="37" t="s">
        <v>51</v>
      </c>
      <c r="F521" s="47" t="s">
        <v>18</v>
      </c>
      <c r="G521" s="47"/>
      <c r="H521" s="47">
        <v>1</v>
      </c>
      <c r="I521" s="47"/>
      <c r="J521" s="251" t="s">
        <v>451</v>
      </c>
      <c r="K521" s="251" t="s">
        <v>28</v>
      </c>
      <c r="L521" s="122" t="s">
        <v>17</v>
      </c>
      <c r="M521" s="251" t="s">
        <v>26</v>
      </c>
      <c r="N521" s="73"/>
      <c r="O521" s="47"/>
      <c r="P521" s="362">
        <v>0</v>
      </c>
      <c r="R521" s="222"/>
      <c r="S521" s="232">
        <f t="shared" ref="S521" si="156">H521*P521</f>
        <v>0</v>
      </c>
    </row>
    <row r="522" spans="1:19" s="61" customFormat="1" x14ac:dyDescent="0.25">
      <c r="A522" s="447"/>
      <c r="B522" s="18" t="s">
        <v>474</v>
      </c>
      <c r="C522" s="18" t="s">
        <v>23</v>
      </c>
      <c r="D522" s="19" t="s">
        <v>46</v>
      </c>
      <c r="E522" s="37" t="s">
        <v>51</v>
      </c>
      <c r="F522" s="47" t="s">
        <v>17</v>
      </c>
      <c r="G522" s="47">
        <v>1</v>
      </c>
      <c r="H522" s="47"/>
      <c r="I522" s="47"/>
      <c r="J522" s="251" t="s">
        <v>466</v>
      </c>
      <c r="K522" s="48" t="s">
        <v>564</v>
      </c>
      <c r="L522" s="73" t="s">
        <v>17</v>
      </c>
      <c r="M522" s="55" t="s">
        <v>26</v>
      </c>
      <c r="N522" s="73"/>
      <c r="O522" s="47">
        <v>1</v>
      </c>
      <c r="P522" s="362"/>
      <c r="R522" s="222">
        <f t="shared" ref="R522" si="157">G522*O522</f>
        <v>1</v>
      </c>
      <c r="S522" s="232"/>
    </row>
    <row r="523" spans="1:19" s="61" customFormat="1" x14ac:dyDescent="0.25">
      <c r="A523" s="447"/>
      <c r="B523" s="18" t="s">
        <v>474</v>
      </c>
      <c r="C523" s="18" t="s">
        <v>23</v>
      </c>
      <c r="D523" s="19" t="s">
        <v>46</v>
      </c>
      <c r="E523" s="37" t="s">
        <v>51</v>
      </c>
      <c r="F523" s="47" t="s">
        <v>17</v>
      </c>
      <c r="G523" s="47">
        <v>1</v>
      </c>
      <c r="H523" s="47"/>
      <c r="I523" s="47"/>
      <c r="J523" s="251" t="s">
        <v>456</v>
      </c>
      <c r="K523" s="48" t="s">
        <v>28</v>
      </c>
      <c r="L523" s="73" t="s">
        <v>567</v>
      </c>
      <c r="M523" s="55"/>
      <c r="N523" s="73"/>
      <c r="O523" s="47">
        <v>1</v>
      </c>
      <c r="P523" s="362"/>
      <c r="R523" s="222">
        <f t="shared" ref="R523" si="158">G523*O523</f>
        <v>1</v>
      </c>
      <c r="S523" s="232"/>
    </row>
    <row r="524" spans="1:19" s="61" customFormat="1" ht="15.75" customHeight="1" x14ac:dyDescent="0.25">
      <c r="A524" s="447"/>
      <c r="B524" s="18" t="s">
        <v>474</v>
      </c>
      <c r="C524" s="26" t="s">
        <v>23</v>
      </c>
      <c r="D524" s="19" t="s">
        <v>46</v>
      </c>
      <c r="E524" s="37" t="s">
        <v>51</v>
      </c>
      <c r="F524" s="47" t="s">
        <v>18</v>
      </c>
      <c r="G524" s="47"/>
      <c r="H524" s="47">
        <v>1</v>
      </c>
      <c r="I524" s="47"/>
      <c r="J524" s="251" t="s">
        <v>456</v>
      </c>
      <c r="K524" s="412" t="s">
        <v>28</v>
      </c>
      <c r="L524" s="73" t="s">
        <v>567</v>
      </c>
      <c r="M524" s="251"/>
      <c r="N524" s="73"/>
      <c r="O524" s="47"/>
      <c r="P524" s="362">
        <v>1</v>
      </c>
      <c r="R524" s="222"/>
      <c r="S524" s="232">
        <f t="shared" ref="S524" si="159">H524*P524</f>
        <v>1</v>
      </c>
    </row>
    <row r="525" spans="1:19" s="61" customFormat="1" ht="15.75" customHeight="1" x14ac:dyDescent="0.25">
      <c r="A525" s="446">
        <v>21</v>
      </c>
      <c r="B525" s="359" t="s">
        <v>206</v>
      </c>
      <c r="C525" s="18" t="s">
        <v>23</v>
      </c>
      <c r="D525" s="19" t="s">
        <v>46</v>
      </c>
      <c r="E525" s="37" t="s">
        <v>51</v>
      </c>
      <c r="F525" s="19" t="s">
        <v>17</v>
      </c>
      <c r="G525" s="47">
        <v>0</v>
      </c>
      <c r="H525" s="23"/>
      <c r="I525" s="47"/>
      <c r="J525" s="427" t="s">
        <v>458</v>
      </c>
      <c r="K525" s="427" t="s">
        <v>82</v>
      </c>
      <c r="L525" s="428" t="s">
        <v>17</v>
      </c>
      <c r="M525" s="427" t="s">
        <v>26</v>
      </c>
      <c r="N525" s="73"/>
      <c r="O525" s="47">
        <v>1</v>
      </c>
      <c r="P525" s="362"/>
      <c r="R525" s="222">
        <f t="shared" si="132"/>
        <v>0</v>
      </c>
      <c r="S525" s="232"/>
    </row>
    <row r="526" spans="1:19" s="61" customFormat="1" x14ac:dyDescent="0.25">
      <c r="A526" s="448"/>
      <c r="B526" s="359" t="s">
        <v>206</v>
      </c>
      <c r="C526" s="18" t="s">
        <v>23</v>
      </c>
      <c r="D526" s="21" t="s">
        <v>46</v>
      </c>
      <c r="E526" s="37" t="s">
        <v>51</v>
      </c>
      <c r="F526" s="21" t="s">
        <v>18</v>
      </c>
      <c r="G526" s="367"/>
      <c r="H526" s="367">
        <v>4</v>
      </c>
      <c r="I526" s="367"/>
      <c r="J526" s="427" t="s">
        <v>458</v>
      </c>
      <c r="K526" s="427" t="s">
        <v>82</v>
      </c>
      <c r="L526" s="428" t="s">
        <v>17</v>
      </c>
      <c r="M526" s="427" t="s">
        <v>26</v>
      </c>
      <c r="N526" s="124"/>
      <c r="O526" s="367"/>
      <c r="P526" s="354">
        <v>1</v>
      </c>
      <c r="Q526" s="125"/>
      <c r="R526" s="223"/>
      <c r="S526" s="232">
        <f t="shared" si="132"/>
        <v>4</v>
      </c>
    </row>
    <row r="527" spans="1:19" s="61" customFormat="1" ht="15.75" customHeight="1" x14ac:dyDescent="0.25">
      <c r="A527" s="452">
        <v>22</v>
      </c>
      <c r="B527" s="126" t="s">
        <v>45</v>
      </c>
      <c r="C527" s="359" t="s">
        <v>23</v>
      </c>
      <c r="D527" s="21" t="s">
        <v>85</v>
      </c>
      <c r="E527" s="243" t="s">
        <v>25</v>
      </c>
      <c r="F527" s="19" t="s">
        <v>17</v>
      </c>
      <c r="G527" s="367">
        <v>2</v>
      </c>
      <c r="H527" s="367"/>
      <c r="I527" s="367"/>
      <c r="J527" s="48" t="s">
        <v>454</v>
      </c>
      <c r="K527" s="365" t="s">
        <v>28</v>
      </c>
      <c r="L527" s="73" t="s">
        <v>17</v>
      </c>
      <c r="M527" s="74" t="s">
        <v>26</v>
      </c>
      <c r="N527" s="124"/>
      <c r="O527" s="367">
        <v>1</v>
      </c>
      <c r="P527" s="367"/>
      <c r="Q527" s="125"/>
      <c r="R527" s="223">
        <f t="shared" ref="R527:R541" si="160">G527*O527</f>
        <v>2</v>
      </c>
      <c r="S527" s="232"/>
    </row>
    <row r="528" spans="1:19" s="61" customFormat="1" ht="15.75" customHeight="1" x14ac:dyDescent="0.25">
      <c r="A528" s="448"/>
      <c r="B528" s="126" t="s">
        <v>45</v>
      </c>
      <c r="C528" s="359" t="s">
        <v>23</v>
      </c>
      <c r="D528" s="21" t="s">
        <v>85</v>
      </c>
      <c r="E528" s="243" t="s">
        <v>25</v>
      </c>
      <c r="F528" s="19" t="s">
        <v>18</v>
      </c>
      <c r="G528" s="367"/>
      <c r="H528" s="367">
        <v>2</v>
      </c>
      <c r="I528" s="367"/>
      <c r="J528" s="251" t="s">
        <v>446</v>
      </c>
      <c r="K528" s="134" t="s">
        <v>43</v>
      </c>
      <c r="L528" s="331" t="s">
        <v>17</v>
      </c>
      <c r="M528" s="363" t="s">
        <v>26</v>
      </c>
      <c r="N528" s="124"/>
      <c r="O528" s="367"/>
      <c r="P528" s="367">
        <v>1</v>
      </c>
      <c r="Q528" s="125"/>
      <c r="R528" s="223"/>
      <c r="S528" s="232">
        <f t="shared" ref="S528:S542" si="161">H528*P528</f>
        <v>2</v>
      </c>
    </row>
    <row r="529" spans="1:19" s="61" customFormat="1" ht="25.5" x14ac:dyDescent="0.25">
      <c r="A529" s="452">
        <v>23</v>
      </c>
      <c r="B529" s="126" t="s">
        <v>475</v>
      </c>
      <c r="C529" s="18" t="s">
        <v>23</v>
      </c>
      <c r="D529" s="21" t="s">
        <v>85</v>
      </c>
      <c r="E529" s="37" t="s">
        <v>51</v>
      </c>
      <c r="F529" s="19" t="s">
        <v>17</v>
      </c>
      <c r="G529" s="367">
        <v>2</v>
      </c>
      <c r="H529" s="367"/>
      <c r="I529" s="367"/>
      <c r="J529" s="55" t="s">
        <v>466</v>
      </c>
      <c r="K529" s="48" t="s">
        <v>564</v>
      </c>
      <c r="L529" s="73" t="s">
        <v>17</v>
      </c>
      <c r="M529" s="74" t="s">
        <v>26</v>
      </c>
      <c r="N529" s="124"/>
      <c r="O529" s="367">
        <v>1</v>
      </c>
      <c r="P529" s="354"/>
      <c r="Q529" s="125"/>
      <c r="R529" s="223">
        <f t="shared" si="160"/>
        <v>2</v>
      </c>
      <c r="S529" s="232"/>
    </row>
    <row r="530" spans="1:19" s="61" customFormat="1" ht="25.5" x14ac:dyDescent="0.25">
      <c r="A530" s="448"/>
      <c r="B530" s="126" t="s">
        <v>475</v>
      </c>
      <c r="C530" s="18" t="s">
        <v>23</v>
      </c>
      <c r="D530" s="21" t="s">
        <v>85</v>
      </c>
      <c r="E530" s="37" t="s">
        <v>51</v>
      </c>
      <c r="F530" s="21" t="s">
        <v>18</v>
      </c>
      <c r="G530" s="367"/>
      <c r="H530" s="367">
        <v>2</v>
      </c>
      <c r="I530" s="367"/>
      <c r="J530" s="251" t="s">
        <v>323</v>
      </c>
      <c r="K530" s="48" t="s">
        <v>303</v>
      </c>
      <c r="L530" s="73" t="s">
        <v>17</v>
      </c>
      <c r="M530" s="55" t="s">
        <v>26</v>
      </c>
      <c r="N530" s="124"/>
      <c r="O530" s="367"/>
      <c r="P530" s="354">
        <v>1</v>
      </c>
      <c r="Q530" s="125"/>
      <c r="R530" s="223"/>
      <c r="S530" s="232">
        <f t="shared" si="161"/>
        <v>2</v>
      </c>
    </row>
    <row r="531" spans="1:19" s="61" customFormat="1" ht="25.5" x14ac:dyDescent="0.25">
      <c r="A531" s="452">
        <v>24</v>
      </c>
      <c r="B531" s="126" t="s">
        <v>476</v>
      </c>
      <c r="C531" s="18" t="s">
        <v>23</v>
      </c>
      <c r="D531" s="21" t="s">
        <v>85</v>
      </c>
      <c r="E531" s="37" t="s">
        <v>51</v>
      </c>
      <c r="F531" s="19" t="s">
        <v>17</v>
      </c>
      <c r="G531" s="367">
        <v>2</v>
      </c>
      <c r="H531" s="367"/>
      <c r="I531" s="367"/>
      <c r="J531" s="251" t="s">
        <v>469</v>
      </c>
      <c r="K531" s="365" t="s">
        <v>28</v>
      </c>
      <c r="L531" s="73" t="s">
        <v>17</v>
      </c>
      <c r="M531" s="74" t="s">
        <v>26</v>
      </c>
      <c r="N531" s="124"/>
      <c r="O531" s="367">
        <v>1</v>
      </c>
      <c r="P531" s="354"/>
      <c r="Q531" s="125"/>
      <c r="R531" s="223">
        <f t="shared" si="160"/>
        <v>2</v>
      </c>
      <c r="S531" s="232"/>
    </row>
    <row r="532" spans="1:19" s="61" customFormat="1" ht="25.5" x14ac:dyDescent="0.25">
      <c r="A532" s="448"/>
      <c r="B532" s="126" t="s">
        <v>476</v>
      </c>
      <c r="C532" s="18" t="s">
        <v>23</v>
      </c>
      <c r="D532" s="21" t="s">
        <v>85</v>
      </c>
      <c r="E532" s="37" t="s">
        <v>51</v>
      </c>
      <c r="F532" s="21" t="s">
        <v>18</v>
      </c>
      <c r="G532" s="367"/>
      <c r="H532" s="367">
        <v>2</v>
      </c>
      <c r="I532" s="367"/>
      <c r="J532" s="365" t="s">
        <v>477</v>
      </c>
      <c r="K532" s="48" t="s">
        <v>82</v>
      </c>
      <c r="L532" s="73" t="s">
        <v>17</v>
      </c>
      <c r="M532" s="74" t="s">
        <v>26</v>
      </c>
      <c r="N532" s="124"/>
      <c r="O532" s="367"/>
      <c r="P532" s="354">
        <v>1</v>
      </c>
      <c r="Q532" s="125"/>
      <c r="R532" s="223"/>
      <c r="S532" s="232">
        <f t="shared" si="161"/>
        <v>2</v>
      </c>
    </row>
    <row r="533" spans="1:19" s="61" customFormat="1" ht="25.5" x14ac:dyDescent="0.25">
      <c r="A533" s="452">
        <v>25</v>
      </c>
      <c r="B533" s="126" t="s">
        <v>478</v>
      </c>
      <c r="C533" s="18" t="s">
        <v>23</v>
      </c>
      <c r="D533" s="21" t="s">
        <v>85</v>
      </c>
      <c r="E533" s="37" t="s">
        <v>51</v>
      </c>
      <c r="F533" s="19" t="s">
        <v>17</v>
      </c>
      <c r="G533" s="367">
        <v>2</v>
      </c>
      <c r="H533" s="367"/>
      <c r="I533" s="367"/>
      <c r="J533" s="150" t="s">
        <v>563</v>
      </c>
      <c r="K533" s="425" t="s">
        <v>82</v>
      </c>
      <c r="L533" s="331" t="s">
        <v>17</v>
      </c>
      <c r="M533" s="363" t="s">
        <v>26</v>
      </c>
      <c r="N533" s="124"/>
      <c r="O533" s="367">
        <v>1</v>
      </c>
      <c r="P533" s="354"/>
      <c r="Q533" s="125"/>
      <c r="R533" s="223">
        <f t="shared" si="160"/>
        <v>2</v>
      </c>
      <c r="S533" s="232"/>
    </row>
    <row r="534" spans="1:19" s="61" customFormat="1" ht="25.5" x14ac:dyDescent="0.25">
      <c r="A534" s="448"/>
      <c r="B534" s="126" t="s">
        <v>478</v>
      </c>
      <c r="C534" s="18" t="s">
        <v>23</v>
      </c>
      <c r="D534" s="21" t="s">
        <v>85</v>
      </c>
      <c r="E534" s="37" t="s">
        <v>51</v>
      </c>
      <c r="F534" s="21" t="s">
        <v>18</v>
      </c>
      <c r="G534" s="367"/>
      <c r="H534" s="367">
        <v>2</v>
      </c>
      <c r="I534" s="367"/>
      <c r="J534" s="150" t="s">
        <v>563</v>
      </c>
      <c r="K534" s="425" t="s">
        <v>82</v>
      </c>
      <c r="L534" s="331" t="s">
        <v>17</v>
      </c>
      <c r="M534" s="363" t="s">
        <v>26</v>
      </c>
      <c r="N534" s="124"/>
      <c r="O534" s="367"/>
      <c r="P534" s="354">
        <v>1</v>
      </c>
      <c r="Q534" s="125"/>
      <c r="R534" s="223"/>
      <c r="S534" s="232">
        <f t="shared" si="161"/>
        <v>2</v>
      </c>
    </row>
    <row r="535" spans="1:19" s="62" customFormat="1" ht="25.5" x14ac:dyDescent="0.25">
      <c r="A535" s="516">
        <v>26</v>
      </c>
      <c r="B535" s="226" t="s">
        <v>61</v>
      </c>
      <c r="C535" s="35" t="s">
        <v>23</v>
      </c>
      <c r="D535" s="297" t="s">
        <v>85</v>
      </c>
      <c r="E535" s="331" t="s">
        <v>51</v>
      </c>
      <c r="F535" s="36" t="s">
        <v>17</v>
      </c>
      <c r="G535" s="366">
        <v>2</v>
      </c>
      <c r="H535" s="366"/>
      <c r="I535" s="366"/>
      <c r="J535" s="251" t="s">
        <v>568</v>
      </c>
      <c r="K535" s="251" t="s">
        <v>43</v>
      </c>
      <c r="L535" s="376" t="s">
        <v>17</v>
      </c>
      <c r="M535" s="48" t="s">
        <v>26</v>
      </c>
      <c r="N535" s="383"/>
      <c r="O535" s="366">
        <v>1</v>
      </c>
      <c r="P535" s="366"/>
      <c r="Q535" s="384"/>
      <c r="R535" s="223">
        <f t="shared" ref="R535" si="162">G535*O535</f>
        <v>2</v>
      </c>
      <c r="S535" s="155"/>
    </row>
    <row r="536" spans="1:19" s="62" customFormat="1" ht="25.5" x14ac:dyDescent="0.25">
      <c r="A536" s="517"/>
      <c r="B536" s="226" t="s">
        <v>61</v>
      </c>
      <c r="C536" s="35" t="s">
        <v>23</v>
      </c>
      <c r="D536" s="297" t="s">
        <v>85</v>
      </c>
      <c r="E536" s="331" t="s">
        <v>51</v>
      </c>
      <c r="F536" s="297" t="s">
        <v>18</v>
      </c>
      <c r="G536" s="366"/>
      <c r="H536" s="366">
        <v>1</v>
      </c>
      <c r="I536" s="366"/>
      <c r="J536" s="251" t="s">
        <v>568</v>
      </c>
      <c r="K536" s="251" t="s">
        <v>43</v>
      </c>
      <c r="L536" s="376" t="s">
        <v>17</v>
      </c>
      <c r="M536" s="48" t="s">
        <v>26</v>
      </c>
      <c r="N536" s="383"/>
      <c r="O536" s="366"/>
      <c r="P536" s="366">
        <v>1</v>
      </c>
      <c r="Q536" s="384"/>
      <c r="R536" s="223"/>
      <c r="S536" s="155">
        <f t="shared" ref="S536" si="163">H536*P536</f>
        <v>1</v>
      </c>
    </row>
    <row r="537" spans="1:19" s="61" customFormat="1" ht="25.5" x14ac:dyDescent="0.25">
      <c r="A537" s="452">
        <v>27</v>
      </c>
      <c r="B537" s="126" t="s">
        <v>479</v>
      </c>
      <c r="C537" s="18" t="s">
        <v>23</v>
      </c>
      <c r="D537" s="21" t="s">
        <v>85</v>
      </c>
      <c r="E537" s="37" t="s">
        <v>51</v>
      </c>
      <c r="F537" s="19" t="s">
        <v>17</v>
      </c>
      <c r="G537" s="367">
        <v>2</v>
      </c>
      <c r="H537" s="367"/>
      <c r="I537" s="367"/>
      <c r="J537" s="425" t="s">
        <v>410</v>
      </c>
      <c r="K537" s="417" t="s">
        <v>43</v>
      </c>
      <c r="L537" s="331" t="s">
        <v>17</v>
      </c>
      <c r="M537" s="363" t="s">
        <v>26</v>
      </c>
      <c r="N537" s="124"/>
      <c r="O537" s="367">
        <v>1</v>
      </c>
      <c r="P537" s="354"/>
      <c r="Q537" s="125"/>
      <c r="R537" s="223">
        <f t="shared" ref="R537" si="164">G537*O537</f>
        <v>2</v>
      </c>
      <c r="S537" s="232"/>
    </row>
    <row r="538" spans="1:19" s="61" customFormat="1" ht="25.5" x14ac:dyDescent="0.25">
      <c r="A538" s="447"/>
      <c r="B538" s="126" t="s">
        <v>479</v>
      </c>
      <c r="C538" s="18" t="s">
        <v>23</v>
      </c>
      <c r="D538" s="21" t="s">
        <v>85</v>
      </c>
      <c r="E538" s="37" t="s">
        <v>51</v>
      </c>
      <c r="F538" s="21" t="s">
        <v>18</v>
      </c>
      <c r="G538" s="367"/>
      <c r="H538" s="367">
        <v>1</v>
      </c>
      <c r="I538" s="367"/>
      <c r="J538" s="363" t="s">
        <v>459</v>
      </c>
      <c r="K538" s="48" t="s">
        <v>82</v>
      </c>
      <c r="L538" s="331" t="s">
        <v>17</v>
      </c>
      <c r="M538" s="363" t="s">
        <v>26</v>
      </c>
      <c r="N538" s="124"/>
      <c r="O538" s="367"/>
      <c r="P538" s="354">
        <v>1</v>
      </c>
      <c r="Q538" s="125"/>
      <c r="R538" s="223"/>
      <c r="S538" s="232">
        <f t="shared" ref="S538" si="165">H538*P538</f>
        <v>1</v>
      </c>
    </row>
    <row r="539" spans="1:19" s="61" customFormat="1" x14ac:dyDescent="0.25">
      <c r="A539" s="447"/>
      <c r="B539" s="126" t="s">
        <v>480</v>
      </c>
      <c r="C539" s="18" t="s">
        <v>23</v>
      </c>
      <c r="D539" s="21" t="s">
        <v>85</v>
      </c>
      <c r="E539" s="37" t="s">
        <v>51</v>
      </c>
      <c r="F539" s="19" t="s">
        <v>17</v>
      </c>
      <c r="G539" s="367">
        <v>2</v>
      </c>
      <c r="H539" s="367"/>
      <c r="I539" s="367"/>
      <c r="J539" s="48" t="s">
        <v>455</v>
      </c>
      <c r="K539" s="251" t="s">
        <v>28</v>
      </c>
      <c r="L539" s="73" t="s">
        <v>17</v>
      </c>
      <c r="M539" s="55" t="s">
        <v>26</v>
      </c>
      <c r="N539" s="124"/>
      <c r="O539" s="367">
        <v>1</v>
      </c>
      <c r="P539" s="354"/>
      <c r="Q539" s="125"/>
      <c r="R539" s="223">
        <f t="shared" ref="R539" si="166">G539*O539</f>
        <v>2</v>
      </c>
      <c r="S539" s="232"/>
    </row>
    <row r="540" spans="1:19" s="61" customFormat="1" ht="15.75" customHeight="1" x14ac:dyDescent="0.25">
      <c r="A540" s="447"/>
      <c r="B540" s="126" t="s">
        <v>480</v>
      </c>
      <c r="C540" s="18" t="s">
        <v>23</v>
      </c>
      <c r="D540" s="21" t="s">
        <v>85</v>
      </c>
      <c r="E540" s="37" t="s">
        <v>51</v>
      </c>
      <c r="F540" s="21" t="s">
        <v>18</v>
      </c>
      <c r="G540" s="367"/>
      <c r="H540" s="367">
        <v>1</v>
      </c>
      <c r="I540" s="367"/>
      <c r="J540" s="251" t="s">
        <v>547</v>
      </c>
      <c r="K540" s="251" t="s">
        <v>43</v>
      </c>
      <c r="L540" s="331" t="s">
        <v>37</v>
      </c>
      <c r="M540" s="251"/>
      <c r="N540" s="124"/>
      <c r="O540" s="367"/>
      <c r="P540" s="354">
        <v>1</v>
      </c>
      <c r="Q540" s="125"/>
      <c r="R540" s="223"/>
      <c r="S540" s="232">
        <f t="shared" ref="S540" si="167">H540*P540</f>
        <v>1</v>
      </c>
    </row>
    <row r="541" spans="1:19" s="61" customFormat="1" ht="15.75" customHeight="1" x14ac:dyDescent="0.25">
      <c r="A541" s="514">
        <v>28</v>
      </c>
      <c r="B541" s="126" t="s">
        <v>271</v>
      </c>
      <c r="C541" s="18" t="s">
        <v>23</v>
      </c>
      <c r="D541" s="21" t="s">
        <v>85</v>
      </c>
      <c r="E541" s="37" t="s">
        <v>51</v>
      </c>
      <c r="F541" s="19" t="s">
        <v>17</v>
      </c>
      <c r="G541" s="367">
        <v>0</v>
      </c>
      <c r="H541" s="367"/>
      <c r="I541" s="367"/>
      <c r="J541" s="48" t="s">
        <v>458</v>
      </c>
      <c r="K541" s="48" t="s">
        <v>82</v>
      </c>
      <c r="L541" s="47" t="s">
        <v>17</v>
      </c>
      <c r="M541" s="48" t="s">
        <v>26</v>
      </c>
      <c r="N541" s="124"/>
      <c r="O541" s="367">
        <v>1</v>
      </c>
      <c r="P541" s="354"/>
      <c r="Q541" s="125"/>
      <c r="R541" s="223">
        <f t="shared" si="160"/>
        <v>0</v>
      </c>
      <c r="S541" s="232"/>
    </row>
    <row r="542" spans="1:19" s="61" customFormat="1" x14ac:dyDescent="0.25">
      <c r="A542" s="515"/>
      <c r="B542" s="126" t="s">
        <v>271</v>
      </c>
      <c r="C542" s="48" t="s">
        <v>23</v>
      </c>
      <c r="D542" s="19" t="s">
        <v>85</v>
      </c>
      <c r="E542" s="19" t="s">
        <v>51</v>
      </c>
      <c r="F542" s="19" t="s">
        <v>18</v>
      </c>
      <c r="G542" s="47"/>
      <c r="H542" s="47">
        <v>3</v>
      </c>
      <c r="I542" s="47"/>
      <c r="J542" s="48" t="s">
        <v>458</v>
      </c>
      <c r="K542" s="48" t="s">
        <v>82</v>
      </c>
      <c r="L542" s="122" t="s">
        <v>17</v>
      </c>
      <c r="M542" s="134" t="s">
        <v>26</v>
      </c>
      <c r="N542" s="73"/>
      <c r="O542" s="47"/>
      <c r="P542" s="362">
        <v>1</v>
      </c>
      <c r="R542" s="223"/>
      <c r="S542" s="232">
        <f t="shared" si="161"/>
        <v>3</v>
      </c>
    </row>
    <row r="543" spans="1:19" s="61" customFormat="1" ht="15.75" customHeight="1" x14ac:dyDescent="0.25">
      <c r="A543" s="247"/>
      <c r="B543" s="279"/>
      <c r="C543" s="279"/>
      <c r="D543" s="280"/>
      <c r="E543" s="280"/>
      <c r="F543" s="280"/>
      <c r="G543" s="280">
        <f>SUM(G464:G542)</f>
        <v>67</v>
      </c>
      <c r="H543" s="280">
        <f>SUM(H464:H542)</f>
        <v>65</v>
      </c>
      <c r="I543" s="280"/>
      <c r="J543" s="279"/>
      <c r="K543" s="279"/>
      <c r="L543" s="280"/>
      <c r="M543" s="279"/>
      <c r="N543" s="283"/>
      <c r="O543" s="280"/>
      <c r="P543" s="284"/>
      <c r="Q543" s="155"/>
      <c r="R543" s="270"/>
      <c r="S543" s="155"/>
    </row>
    <row r="544" spans="1:19" s="61" customFormat="1" ht="15.75" customHeight="1" x14ac:dyDescent="0.25">
      <c r="A544"/>
      <c r="B544" s="31"/>
      <c r="C544" s="31"/>
      <c r="D544"/>
      <c r="E544"/>
      <c r="F544"/>
      <c r="G544"/>
      <c r="H544"/>
      <c r="I544"/>
      <c r="J544"/>
      <c r="K544" s="31"/>
      <c r="L544" s="32"/>
      <c r="M544"/>
      <c r="N544"/>
      <c r="O544"/>
      <c r="P544"/>
      <c r="Q544"/>
      <c r="R544" s="66"/>
      <c r="S544"/>
    </row>
    <row r="545" spans="1:19" s="61" customFormat="1" ht="15.75" customHeight="1" x14ac:dyDescent="0.25">
      <c r="A545" s="6"/>
      <c r="B545" s="306" t="s">
        <v>103</v>
      </c>
      <c r="C545" s="306"/>
      <c r="D545" s="307"/>
      <c r="E545" s="307"/>
      <c r="F545" s="307"/>
      <c r="G545" s="307"/>
      <c r="H545" s="306"/>
      <c r="I545" s="306"/>
      <c r="J545" s="307"/>
      <c r="K545" s="7"/>
      <c r="L545" s="7"/>
      <c r="M545" s="7"/>
      <c r="N545"/>
      <c r="O545"/>
      <c r="P545"/>
      <c r="Q545"/>
      <c r="R545"/>
      <c r="S545"/>
    </row>
    <row r="546" spans="1:19" ht="15" customHeight="1" x14ac:dyDescent="0.25">
      <c r="R546" s="66"/>
    </row>
    <row r="547" spans="1:19" ht="26.25" customHeight="1" x14ac:dyDescent="0.25">
      <c r="A547" s="28"/>
      <c r="B547" s="228" t="s">
        <v>49</v>
      </c>
      <c r="C547" s="29"/>
      <c r="D547" s="20"/>
      <c r="E547" s="20"/>
      <c r="F547" s="20"/>
      <c r="G547" s="20"/>
      <c r="H547" s="20"/>
      <c r="I547" s="20"/>
      <c r="J547" s="29"/>
      <c r="K547" s="29"/>
      <c r="L547" s="20"/>
      <c r="M547" s="29"/>
      <c r="R547" s="66"/>
    </row>
    <row r="548" spans="1:19" ht="13.5" customHeight="1" x14ac:dyDescent="0.25">
      <c r="C548" s="29"/>
      <c r="R548" s="66"/>
    </row>
    <row r="549" spans="1:19" ht="26.25" customHeight="1" x14ac:dyDescent="0.25">
      <c r="A549" s="434">
        <v>1</v>
      </c>
      <c r="B549" s="48" t="s">
        <v>91</v>
      </c>
      <c r="C549" s="48" t="s">
        <v>104</v>
      </c>
      <c r="D549" s="47" t="s">
        <v>24</v>
      </c>
      <c r="E549" s="47" t="s">
        <v>51</v>
      </c>
      <c r="F549" s="47" t="s">
        <v>17</v>
      </c>
      <c r="G549" s="47">
        <v>2</v>
      </c>
      <c r="H549" s="47"/>
      <c r="I549" s="47"/>
      <c r="J549" s="150" t="s">
        <v>448</v>
      </c>
      <c r="K549" s="48" t="s">
        <v>82</v>
      </c>
      <c r="L549" s="331" t="s">
        <v>37</v>
      </c>
      <c r="M549" s="48" t="s">
        <v>423</v>
      </c>
      <c r="N549" s="362"/>
      <c r="O549" s="362">
        <v>1</v>
      </c>
      <c r="P549" s="362"/>
      <c r="Q549" s="61"/>
      <c r="R549" s="223">
        <f t="shared" ref="R549:S579" si="168">G549*O549</f>
        <v>2</v>
      </c>
      <c r="S549" s="155"/>
    </row>
    <row r="550" spans="1:19" ht="26.25" customHeight="1" x14ac:dyDescent="0.25">
      <c r="A550" s="435"/>
      <c r="B550" s="48" t="s">
        <v>91</v>
      </c>
      <c r="C550" s="48" t="s">
        <v>104</v>
      </c>
      <c r="D550" s="47" t="s">
        <v>24</v>
      </c>
      <c r="E550" s="47" t="s">
        <v>51</v>
      </c>
      <c r="F550" s="47" t="s">
        <v>18</v>
      </c>
      <c r="G550" s="47"/>
      <c r="H550" s="47">
        <v>2</v>
      </c>
      <c r="I550" s="47"/>
      <c r="J550" s="33" t="s">
        <v>551</v>
      </c>
      <c r="K550" s="48" t="s">
        <v>195</v>
      </c>
      <c r="L550" s="34" t="s">
        <v>17</v>
      </c>
      <c r="M550" s="48" t="s">
        <v>26</v>
      </c>
      <c r="N550" s="362"/>
      <c r="O550" s="362"/>
      <c r="P550" s="362">
        <v>1</v>
      </c>
      <c r="Q550" s="61"/>
      <c r="R550" s="223"/>
      <c r="S550" s="155">
        <f t="shared" si="168"/>
        <v>2</v>
      </c>
    </row>
    <row r="551" spans="1:19" ht="25.5" x14ac:dyDescent="0.25">
      <c r="A551" s="434">
        <v>2</v>
      </c>
      <c r="B551" s="48" t="s">
        <v>123</v>
      </c>
      <c r="C551" s="48" t="s">
        <v>104</v>
      </c>
      <c r="D551" s="47" t="s">
        <v>24</v>
      </c>
      <c r="E551" s="47" t="s">
        <v>51</v>
      </c>
      <c r="F551" s="47" t="s">
        <v>17</v>
      </c>
      <c r="G551" s="47">
        <v>2</v>
      </c>
      <c r="H551" s="47"/>
      <c r="I551" s="47"/>
      <c r="J551" s="33" t="s">
        <v>501</v>
      </c>
      <c r="K551" s="48" t="s">
        <v>28</v>
      </c>
      <c r="L551" s="34" t="s">
        <v>41</v>
      </c>
      <c r="M551" s="48" t="s">
        <v>107</v>
      </c>
      <c r="N551" s="362"/>
      <c r="O551" s="362">
        <v>1</v>
      </c>
      <c r="P551" s="362"/>
      <c r="Q551" s="61"/>
      <c r="R551" s="223">
        <f t="shared" si="168"/>
        <v>2</v>
      </c>
      <c r="S551" s="155"/>
    </row>
    <row r="552" spans="1:19" ht="26.25" customHeight="1" x14ac:dyDescent="0.25">
      <c r="A552" s="435"/>
      <c r="B552" s="48" t="s">
        <v>123</v>
      </c>
      <c r="C552" s="48" t="s">
        <v>104</v>
      </c>
      <c r="D552" s="47" t="s">
        <v>24</v>
      </c>
      <c r="E552" s="47" t="s">
        <v>51</v>
      </c>
      <c r="F552" s="47" t="s">
        <v>18</v>
      </c>
      <c r="G552" s="47"/>
      <c r="H552" s="47">
        <v>2</v>
      </c>
      <c r="I552" s="47"/>
      <c r="J552" s="33" t="s">
        <v>501</v>
      </c>
      <c r="K552" s="48" t="s">
        <v>28</v>
      </c>
      <c r="L552" s="34" t="s">
        <v>41</v>
      </c>
      <c r="M552" s="48" t="s">
        <v>107</v>
      </c>
      <c r="N552" s="362"/>
      <c r="O552" s="362"/>
      <c r="P552" s="362">
        <v>1</v>
      </c>
      <c r="Q552" s="61"/>
      <c r="R552" s="223"/>
      <c r="S552" s="155">
        <f t="shared" si="168"/>
        <v>2</v>
      </c>
    </row>
    <row r="553" spans="1:19" ht="25.5" x14ac:dyDescent="0.25">
      <c r="A553" s="434">
        <v>3</v>
      </c>
      <c r="B553" s="363" t="s">
        <v>124</v>
      </c>
      <c r="C553" s="48" t="s">
        <v>104</v>
      </c>
      <c r="D553" s="47" t="s">
        <v>24</v>
      </c>
      <c r="E553" s="47" t="s">
        <v>51</v>
      </c>
      <c r="F553" s="47" t="s">
        <v>17</v>
      </c>
      <c r="G553" s="47">
        <v>2</v>
      </c>
      <c r="H553" s="38"/>
      <c r="I553" s="47"/>
      <c r="J553" s="48" t="s">
        <v>510</v>
      </c>
      <c r="K553" s="48" t="s">
        <v>548</v>
      </c>
      <c r="L553" s="34" t="s">
        <v>284</v>
      </c>
      <c r="M553" s="48" t="s">
        <v>107</v>
      </c>
      <c r="N553" s="362"/>
      <c r="O553" s="362">
        <v>1</v>
      </c>
      <c r="P553" s="362"/>
      <c r="Q553" s="61"/>
      <c r="R553" s="223">
        <f t="shared" si="168"/>
        <v>2</v>
      </c>
      <c r="S553" s="155"/>
    </row>
    <row r="554" spans="1:19" s="61" customFormat="1" ht="25.5" x14ac:dyDescent="0.25">
      <c r="A554" s="435"/>
      <c r="B554" s="363" t="s">
        <v>124</v>
      </c>
      <c r="C554" s="363" t="s">
        <v>104</v>
      </c>
      <c r="D554" s="331" t="s">
        <v>24</v>
      </c>
      <c r="E554" s="331" t="s">
        <v>51</v>
      </c>
      <c r="F554" s="331" t="s">
        <v>18</v>
      </c>
      <c r="G554" s="331"/>
      <c r="H554" s="331">
        <v>2</v>
      </c>
      <c r="I554" s="331"/>
      <c r="J554" s="363" t="s">
        <v>412</v>
      </c>
      <c r="K554" s="363" t="s">
        <v>31</v>
      </c>
      <c r="L554" s="331" t="s">
        <v>284</v>
      </c>
      <c r="M554" s="48" t="s">
        <v>107</v>
      </c>
      <c r="N554" s="362"/>
      <c r="O554" s="362"/>
      <c r="P554" s="362">
        <v>1</v>
      </c>
      <c r="R554" s="223"/>
      <c r="S554" s="155">
        <f t="shared" si="168"/>
        <v>2</v>
      </c>
    </row>
    <row r="555" spans="1:19" s="62" customFormat="1" ht="15.75" customHeight="1" x14ac:dyDescent="0.25">
      <c r="A555" s="478">
        <v>4</v>
      </c>
      <c r="B555" s="363" t="s">
        <v>125</v>
      </c>
      <c r="C555" s="363" t="s">
        <v>104</v>
      </c>
      <c r="D555" s="331" t="s">
        <v>24</v>
      </c>
      <c r="E555" s="331" t="s">
        <v>51</v>
      </c>
      <c r="F555" s="331" t="s">
        <v>17</v>
      </c>
      <c r="G555" s="331">
        <v>2</v>
      </c>
      <c r="H555" s="331"/>
      <c r="I555" s="331"/>
      <c r="J555" s="363" t="s">
        <v>508</v>
      </c>
      <c r="K555" s="251" t="s">
        <v>28</v>
      </c>
      <c r="L555" s="122" t="s">
        <v>37</v>
      </c>
      <c r="M555" s="251" t="s">
        <v>507</v>
      </c>
      <c r="N555" s="154"/>
      <c r="O555" s="154">
        <v>1</v>
      </c>
      <c r="P555" s="154"/>
      <c r="R555" s="223">
        <f t="shared" si="168"/>
        <v>2</v>
      </c>
      <c r="S555" s="155"/>
    </row>
    <row r="556" spans="1:19" s="62" customFormat="1" ht="15.75" customHeight="1" x14ac:dyDescent="0.25">
      <c r="A556" s="518"/>
      <c r="B556" s="363" t="s">
        <v>125</v>
      </c>
      <c r="C556" s="363" t="s">
        <v>104</v>
      </c>
      <c r="D556" s="331" t="s">
        <v>24</v>
      </c>
      <c r="E556" s="331" t="s">
        <v>51</v>
      </c>
      <c r="F556" s="331" t="s">
        <v>18</v>
      </c>
      <c r="G556" s="331"/>
      <c r="H556" s="331">
        <v>3</v>
      </c>
      <c r="I556" s="331"/>
      <c r="J556" s="363" t="s">
        <v>508</v>
      </c>
      <c r="K556" s="251" t="s">
        <v>28</v>
      </c>
      <c r="L556" s="122" t="s">
        <v>37</v>
      </c>
      <c r="M556" s="251" t="s">
        <v>507</v>
      </c>
      <c r="N556" s="154"/>
      <c r="O556" s="154"/>
      <c r="P556" s="154">
        <v>1</v>
      </c>
      <c r="R556" s="223"/>
      <c r="S556" s="155">
        <f t="shared" si="168"/>
        <v>3</v>
      </c>
    </row>
    <row r="557" spans="1:19" s="61" customFormat="1" ht="15.75" customHeight="1" x14ac:dyDescent="0.25">
      <c r="A557" s="434">
        <v>5</v>
      </c>
      <c r="B557" s="363" t="s">
        <v>71</v>
      </c>
      <c r="C557" s="48" t="s">
        <v>104</v>
      </c>
      <c r="D557" s="47" t="s">
        <v>24</v>
      </c>
      <c r="E557" s="47" t="s">
        <v>51</v>
      </c>
      <c r="F557" s="47" t="s">
        <v>17</v>
      </c>
      <c r="G557" s="47">
        <v>2</v>
      </c>
      <c r="H557" s="38"/>
      <c r="I557" s="47"/>
      <c r="J557" s="251" t="s">
        <v>446</v>
      </c>
      <c r="K557" s="251" t="s">
        <v>43</v>
      </c>
      <c r="L557" s="331" t="s">
        <v>17</v>
      </c>
      <c r="M557" s="363" t="s">
        <v>26</v>
      </c>
      <c r="N557" s="362"/>
      <c r="O557" s="362">
        <v>1</v>
      </c>
      <c r="P557" s="362"/>
      <c r="R557" s="223">
        <f t="shared" si="168"/>
        <v>2</v>
      </c>
      <c r="S557" s="155"/>
    </row>
    <row r="558" spans="1:19" s="61" customFormat="1" ht="15.75" customHeight="1" x14ac:dyDescent="0.25">
      <c r="A558" s="435"/>
      <c r="B558" s="363" t="s">
        <v>71</v>
      </c>
      <c r="C558" s="48" t="s">
        <v>104</v>
      </c>
      <c r="D558" s="47" t="s">
        <v>24</v>
      </c>
      <c r="E558" s="47" t="s">
        <v>51</v>
      </c>
      <c r="F558" s="47" t="s">
        <v>17</v>
      </c>
      <c r="G558" s="47"/>
      <c r="H558" s="38">
        <v>2</v>
      </c>
      <c r="I558" s="47"/>
      <c r="J558" s="251" t="s">
        <v>446</v>
      </c>
      <c r="K558" s="251" t="s">
        <v>43</v>
      </c>
      <c r="L558" s="331" t="s">
        <v>17</v>
      </c>
      <c r="M558" s="363" t="s">
        <v>26</v>
      </c>
      <c r="N558" s="362"/>
      <c r="O558" s="362"/>
      <c r="P558" s="362">
        <v>1</v>
      </c>
      <c r="R558" s="223"/>
      <c r="S558" s="155">
        <f t="shared" si="168"/>
        <v>2</v>
      </c>
    </row>
    <row r="559" spans="1:19" s="61" customFormat="1" ht="15.75" customHeight="1" x14ac:dyDescent="0.25">
      <c r="A559" s="434">
        <v>6</v>
      </c>
      <c r="B559" s="48" t="s">
        <v>126</v>
      </c>
      <c r="C559" s="48" t="s">
        <v>104</v>
      </c>
      <c r="D559" s="47" t="s">
        <v>24</v>
      </c>
      <c r="E559" s="47" t="s">
        <v>51</v>
      </c>
      <c r="F559" s="47" t="s">
        <v>17</v>
      </c>
      <c r="G559" s="47">
        <v>1</v>
      </c>
      <c r="H559" s="38"/>
      <c r="I559" s="47"/>
      <c r="J559" s="48" t="s">
        <v>467</v>
      </c>
      <c r="K559" s="251" t="s">
        <v>28</v>
      </c>
      <c r="L559" s="331" t="s">
        <v>17</v>
      </c>
      <c r="M559" s="363" t="s">
        <v>26</v>
      </c>
      <c r="N559" s="362"/>
      <c r="O559" s="362">
        <v>1</v>
      </c>
      <c r="P559" s="362"/>
      <c r="R559" s="223">
        <f t="shared" si="168"/>
        <v>1</v>
      </c>
      <c r="S559" s="155"/>
    </row>
    <row r="560" spans="1:19" s="61" customFormat="1" ht="15.75" customHeight="1" x14ac:dyDescent="0.25">
      <c r="A560" s="435"/>
      <c r="B560" s="48" t="s">
        <v>126</v>
      </c>
      <c r="C560" s="48" t="s">
        <v>104</v>
      </c>
      <c r="D560" s="47" t="s">
        <v>24</v>
      </c>
      <c r="E560" s="47" t="s">
        <v>51</v>
      </c>
      <c r="F560" s="47" t="s">
        <v>18</v>
      </c>
      <c r="G560" s="47"/>
      <c r="H560" s="47">
        <v>2</v>
      </c>
      <c r="I560" s="47"/>
      <c r="J560" s="48" t="s">
        <v>467</v>
      </c>
      <c r="K560" s="251" t="s">
        <v>28</v>
      </c>
      <c r="L560" s="331" t="s">
        <v>17</v>
      </c>
      <c r="M560" s="363" t="s">
        <v>26</v>
      </c>
      <c r="N560" s="362"/>
      <c r="O560" s="362"/>
      <c r="P560" s="362">
        <v>1</v>
      </c>
      <c r="R560" s="223"/>
      <c r="S560" s="155">
        <f t="shared" si="168"/>
        <v>2</v>
      </c>
    </row>
    <row r="561" spans="1:19" s="61" customFormat="1" ht="25.5" x14ac:dyDescent="0.25">
      <c r="A561" s="434">
        <v>7</v>
      </c>
      <c r="B561" s="48" t="s">
        <v>127</v>
      </c>
      <c r="C561" s="48" t="s">
        <v>104</v>
      </c>
      <c r="D561" s="47" t="s">
        <v>36</v>
      </c>
      <c r="E561" s="47" t="s">
        <v>51</v>
      </c>
      <c r="F561" s="47" t="s">
        <v>17</v>
      </c>
      <c r="G561" s="47">
        <v>2</v>
      </c>
      <c r="H561" s="38"/>
      <c r="I561" s="47"/>
      <c r="J561" s="363" t="s">
        <v>566</v>
      </c>
      <c r="K561" s="48" t="s">
        <v>82</v>
      </c>
      <c r="L561" s="47" t="s">
        <v>567</v>
      </c>
      <c r="M561" s="363" t="s">
        <v>87</v>
      </c>
      <c r="N561" s="73"/>
      <c r="O561" s="362">
        <v>1</v>
      </c>
      <c r="P561" s="362"/>
      <c r="R561" s="223">
        <f t="shared" si="168"/>
        <v>2</v>
      </c>
      <c r="S561" s="155"/>
    </row>
    <row r="562" spans="1:19" s="61" customFormat="1" ht="15.75" customHeight="1" x14ac:dyDescent="0.25">
      <c r="A562" s="435"/>
      <c r="B562" s="48" t="s">
        <v>127</v>
      </c>
      <c r="C562" s="48" t="s">
        <v>104</v>
      </c>
      <c r="D562" s="47" t="s">
        <v>36</v>
      </c>
      <c r="E562" s="47" t="s">
        <v>51</v>
      </c>
      <c r="F562" s="47" t="s">
        <v>18</v>
      </c>
      <c r="G562" s="47"/>
      <c r="H562" s="47">
        <v>2</v>
      </c>
      <c r="I562" s="47"/>
      <c r="J562" s="363" t="s">
        <v>566</v>
      </c>
      <c r="K562" s="48" t="s">
        <v>28</v>
      </c>
      <c r="L562" s="47" t="s">
        <v>567</v>
      </c>
      <c r="M562" s="359" t="s">
        <v>514</v>
      </c>
      <c r="N562" s="73"/>
      <c r="O562" s="362"/>
      <c r="P562" s="362">
        <v>1</v>
      </c>
      <c r="R562" s="223"/>
      <c r="S562" s="155">
        <f t="shared" si="168"/>
        <v>2</v>
      </c>
    </row>
    <row r="563" spans="1:19" s="61" customFormat="1" ht="25.5" x14ac:dyDescent="0.25">
      <c r="A563" s="434">
        <v>8</v>
      </c>
      <c r="B563" s="48" t="s">
        <v>273</v>
      </c>
      <c r="C563" s="48" t="s">
        <v>104</v>
      </c>
      <c r="D563" s="47" t="s">
        <v>36</v>
      </c>
      <c r="E563" s="47" t="s">
        <v>51</v>
      </c>
      <c r="F563" s="47" t="s">
        <v>17</v>
      </c>
      <c r="G563" s="47">
        <v>2</v>
      </c>
      <c r="H563" s="47"/>
      <c r="I563" s="47"/>
      <c r="J563" s="55" t="s">
        <v>503</v>
      </c>
      <c r="K563" s="48" t="s">
        <v>28</v>
      </c>
      <c r="L563" s="331" t="s">
        <v>41</v>
      </c>
      <c r="M563" s="363" t="s">
        <v>388</v>
      </c>
      <c r="N563" s="73"/>
      <c r="O563" s="362">
        <v>1</v>
      </c>
      <c r="P563" s="362"/>
      <c r="R563" s="223">
        <f t="shared" si="168"/>
        <v>2</v>
      </c>
      <c r="S563" s="155"/>
    </row>
    <row r="564" spans="1:19" s="61" customFormat="1" ht="15.75" customHeight="1" x14ac:dyDescent="0.25">
      <c r="A564" s="435"/>
      <c r="B564" s="48" t="s">
        <v>273</v>
      </c>
      <c r="C564" s="48" t="s">
        <v>104</v>
      </c>
      <c r="D564" s="47" t="s">
        <v>36</v>
      </c>
      <c r="E564" s="47" t="s">
        <v>51</v>
      </c>
      <c r="F564" s="47" t="s">
        <v>18</v>
      </c>
      <c r="G564" s="47"/>
      <c r="H564" s="47">
        <v>2</v>
      </c>
      <c r="I564" s="47"/>
      <c r="J564" s="251" t="s">
        <v>384</v>
      </c>
      <c r="K564" s="363" t="s">
        <v>31</v>
      </c>
      <c r="L564" s="331" t="s">
        <v>17</v>
      </c>
      <c r="M564" s="363" t="s">
        <v>26</v>
      </c>
      <c r="N564" s="73"/>
      <c r="O564" s="362"/>
      <c r="P564" s="362">
        <v>1</v>
      </c>
      <c r="R564" s="223"/>
      <c r="S564" s="155">
        <f t="shared" si="168"/>
        <v>2</v>
      </c>
    </row>
    <row r="565" spans="1:19" s="61" customFormat="1" ht="25.5" x14ac:dyDescent="0.25">
      <c r="A565" s="434">
        <v>9</v>
      </c>
      <c r="B565" s="48" t="s">
        <v>128</v>
      </c>
      <c r="C565" s="48" t="s">
        <v>104</v>
      </c>
      <c r="D565" s="47" t="s">
        <v>36</v>
      </c>
      <c r="E565" s="47" t="s">
        <v>51</v>
      </c>
      <c r="F565" s="47" t="s">
        <v>17</v>
      </c>
      <c r="G565" s="47">
        <v>2</v>
      </c>
      <c r="H565" s="38"/>
      <c r="I565" s="47"/>
      <c r="J565" s="48" t="s">
        <v>504</v>
      </c>
      <c r="K565" s="48" t="s">
        <v>28</v>
      </c>
      <c r="L565" s="34" t="s">
        <v>41</v>
      </c>
      <c r="M565" s="48" t="s">
        <v>197</v>
      </c>
      <c r="N565" s="73"/>
      <c r="O565" s="362">
        <v>1</v>
      </c>
      <c r="P565" s="362"/>
      <c r="R565" s="223">
        <f t="shared" si="168"/>
        <v>2</v>
      </c>
      <c r="S565" s="155"/>
    </row>
    <row r="566" spans="1:19" s="61" customFormat="1" ht="25.5" x14ac:dyDescent="0.25">
      <c r="A566" s="435"/>
      <c r="B566" s="48" t="s">
        <v>128</v>
      </c>
      <c r="C566" s="48" t="s">
        <v>104</v>
      </c>
      <c r="D566" s="47" t="s">
        <v>36</v>
      </c>
      <c r="E566" s="47" t="s">
        <v>51</v>
      </c>
      <c r="F566" s="47" t="s">
        <v>18</v>
      </c>
      <c r="G566" s="47"/>
      <c r="H566" s="47">
        <v>2</v>
      </c>
      <c r="I566" s="47"/>
      <c r="J566" s="48" t="s">
        <v>505</v>
      </c>
      <c r="K566" s="48" t="s">
        <v>266</v>
      </c>
      <c r="L566" s="34" t="s">
        <v>41</v>
      </c>
      <c r="M566" s="48" t="s">
        <v>197</v>
      </c>
      <c r="N566" s="73"/>
      <c r="O566" s="362"/>
      <c r="P566" s="362">
        <v>1</v>
      </c>
      <c r="R566" s="223"/>
      <c r="S566" s="155">
        <f t="shared" si="168"/>
        <v>2</v>
      </c>
    </row>
    <row r="567" spans="1:19" s="61" customFormat="1" ht="15.75" customHeight="1" x14ac:dyDescent="0.25">
      <c r="A567" s="434">
        <v>10</v>
      </c>
      <c r="B567" s="48" t="s">
        <v>129</v>
      </c>
      <c r="C567" s="48" t="s">
        <v>104</v>
      </c>
      <c r="D567" s="47" t="s">
        <v>36</v>
      </c>
      <c r="E567" s="47" t="s">
        <v>51</v>
      </c>
      <c r="F567" s="47" t="s">
        <v>17</v>
      </c>
      <c r="G567" s="47">
        <v>2</v>
      </c>
      <c r="H567" s="38"/>
      <c r="I567" s="47"/>
      <c r="J567" s="363" t="s">
        <v>452</v>
      </c>
      <c r="K567" s="48" t="s">
        <v>82</v>
      </c>
      <c r="L567" s="47" t="s">
        <v>17</v>
      </c>
      <c r="M567" s="152" t="s">
        <v>26</v>
      </c>
      <c r="N567" s="73"/>
      <c r="O567" s="362">
        <v>1</v>
      </c>
      <c r="P567" s="362"/>
      <c r="R567" s="223">
        <f t="shared" si="168"/>
        <v>2</v>
      </c>
      <c r="S567" s="155"/>
    </row>
    <row r="568" spans="1:19" s="61" customFormat="1" ht="15.75" customHeight="1" x14ac:dyDescent="0.25">
      <c r="A568" s="435"/>
      <c r="B568" s="48" t="s">
        <v>129</v>
      </c>
      <c r="C568" s="48" t="s">
        <v>104</v>
      </c>
      <c r="D568" s="47" t="s">
        <v>36</v>
      </c>
      <c r="E568" s="47" t="s">
        <v>51</v>
      </c>
      <c r="F568" s="47" t="s">
        <v>18</v>
      </c>
      <c r="G568" s="47"/>
      <c r="H568" s="47">
        <v>2</v>
      </c>
      <c r="I568" s="47"/>
      <c r="J568" s="363" t="s">
        <v>452</v>
      </c>
      <c r="K568" s="48" t="s">
        <v>82</v>
      </c>
      <c r="L568" s="47" t="s">
        <v>17</v>
      </c>
      <c r="M568" s="152" t="s">
        <v>26</v>
      </c>
      <c r="N568" s="73"/>
      <c r="O568" s="362"/>
      <c r="P568" s="362">
        <v>1</v>
      </c>
      <c r="R568" s="223"/>
      <c r="S568" s="155">
        <f t="shared" si="168"/>
        <v>2</v>
      </c>
    </row>
    <row r="569" spans="1:19" s="61" customFormat="1" ht="15.75" customHeight="1" x14ac:dyDescent="0.25">
      <c r="A569" s="434">
        <v>11</v>
      </c>
      <c r="B569" s="48" t="s">
        <v>130</v>
      </c>
      <c r="C569" s="48" t="s">
        <v>104</v>
      </c>
      <c r="D569" s="47" t="s">
        <v>36</v>
      </c>
      <c r="E569" s="47" t="s">
        <v>51</v>
      </c>
      <c r="F569" s="47" t="s">
        <v>17</v>
      </c>
      <c r="G569" s="47">
        <v>2</v>
      </c>
      <c r="H569" s="38"/>
      <c r="I569" s="47"/>
      <c r="J569" s="363" t="s">
        <v>509</v>
      </c>
      <c r="K569" s="363" t="s">
        <v>82</v>
      </c>
      <c r="L569" s="47" t="s">
        <v>41</v>
      </c>
      <c r="M569" s="48" t="s">
        <v>54</v>
      </c>
      <c r="N569" s="73"/>
      <c r="O569" s="362">
        <v>1</v>
      </c>
      <c r="P569" s="362"/>
      <c r="R569" s="223">
        <f t="shared" si="168"/>
        <v>2</v>
      </c>
      <c r="S569" s="155"/>
    </row>
    <row r="570" spans="1:19" s="61" customFormat="1" ht="15.75" customHeight="1" x14ac:dyDescent="0.25">
      <c r="A570" s="435"/>
      <c r="B570" s="48" t="s">
        <v>130</v>
      </c>
      <c r="C570" s="48" t="s">
        <v>104</v>
      </c>
      <c r="D570" s="47" t="s">
        <v>36</v>
      </c>
      <c r="E570" s="47" t="s">
        <v>51</v>
      </c>
      <c r="F570" s="47" t="s">
        <v>18</v>
      </c>
      <c r="G570" s="47"/>
      <c r="H570" s="47">
        <v>2</v>
      </c>
      <c r="I570" s="47"/>
      <c r="J570" s="251" t="s">
        <v>511</v>
      </c>
      <c r="K570" s="363" t="s">
        <v>31</v>
      </c>
      <c r="L570" s="47" t="s">
        <v>41</v>
      </c>
      <c r="M570" s="48" t="s">
        <v>54</v>
      </c>
      <c r="N570" s="73"/>
      <c r="O570" s="362"/>
      <c r="P570" s="362">
        <v>1</v>
      </c>
      <c r="R570" s="223"/>
      <c r="S570" s="155">
        <f t="shared" si="168"/>
        <v>2</v>
      </c>
    </row>
    <row r="571" spans="1:19" s="61" customFormat="1" ht="25.5" x14ac:dyDescent="0.25">
      <c r="A571" s="434">
        <v>12</v>
      </c>
      <c r="B571" s="48" t="s">
        <v>131</v>
      </c>
      <c r="C571" s="48" t="s">
        <v>104</v>
      </c>
      <c r="D571" s="47" t="s">
        <v>36</v>
      </c>
      <c r="E571" s="47" t="s">
        <v>51</v>
      </c>
      <c r="F571" s="47" t="s">
        <v>17</v>
      </c>
      <c r="G571" s="47">
        <v>2</v>
      </c>
      <c r="H571" s="38"/>
      <c r="I571" s="47"/>
      <c r="J571" s="55" t="s">
        <v>512</v>
      </c>
      <c r="K571" s="251" t="s">
        <v>82</v>
      </c>
      <c r="L571" s="73" t="s">
        <v>41</v>
      </c>
      <c r="M571" s="251" t="s">
        <v>388</v>
      </c>
      <c r="N571" s="73"/>
      <c r="O571" s="362">
        <v>1</v>
      </c>
      <c r="P571" s="362"/>
      <c r="R571" s="223">
        <f t="shared" ref="R571" si="169">G571*O571</f>
        <v>2</v>
      </c>
      <c r="S571" s="155"/>
    </row>
    <row r="572" spans="1:19" s="61" customFormat="1" ht="25.5" x14ac:dyDescent="0.25">
      <c r="A572" s="434"/>
      <c r="B572" s="48" t="s">
        <v>131</v>
      </c>
      <c r="C572" s="48" t="s">
        <v>104</v>
      </c>
      <c r="D572" s="47" t="s">
        <v>36</v>
      </c>
      <c r="E572" s="47" t="s">
        <v>51</v>
      </c>
      <c r="F572" s="47" t="s">
        <v>18</v>
      </c>
      <c r="G572" s="47"/>
      <c r="H572" s="47">
        <v>2</v>
      </c>
      <c r="I572" s="47"/>
      <c r="J572" s="251" t="s">
        <v>445</v>
      </c>
      <c r="K572" s="251" t="s">
        <v>303</v>
      </c>
      <c r="L572" s="73" t="s">
        <v>41</v>
      </c>
      <c r="M572" s="251" t="s">
        <v>388</v>
      </c>
      <c r="N572" s="73"/>
      <c r="O572" s="362"/>
      <c r="P572" s="362">
        <v>1</v>
      </c>
      <c r="R572" s="223"/>
      <c r="S572" s="155">
        <f t="shared" ref="S572" si="170">H572*P572</f>
        <v>2</v>
      </c>
    </row>
    <row r="573" spans="1:19" s="61" customFormat="1" ht="15.75" customHeight="1" x14ac:dyDescent="0.25">
      <c r="A573" s="435"/>
      <c r="B573" s="48" t="s">
        <v>386</v>
      </c>
      <c r="C573" s="48" t="s">
        <v>104</v>
      </c>
      <c r="D573" s="47" t="s">
        <v>36</v>
      </c>
      <c r="E573" s="47" t="s">
        <v>51</v>
      </c>
      <c r="F573" s="47" t="s">
        <v>18</v>
      </c>
      <c r="G573" s="47"/>
      <c r="H573" s="47">
        <v>2</v>
      </c>
      <c r="I573" s="47"/>
      <c r="J573" s="363"/>
      <c r="K573" s="363"/>
      <c r="L573" s="331"/>
      <c r="M573" s="363"/>
      <c r="N573" s="73"/>
      <c r="O573" s="362"/>
      <c r="P573" s="362">
        <v>0</v>
      </c>
      <c r="R573" s="223">
        <f t="shared" si="168"/>
        <v>0</v>
      </c>
      <c r="S573" s="155">
        <f t="shared" si="168"/>
        <v>0</v>
      </c>
    </row>
    <row r="574" spans="1:19" s="61" customFormat="1" x14ac:dyDescent="0.25">
      <c r="A574" s="434">
        <v>13</v>
      </c>
      <c r="B574" s="48" t="s">
        <v>132</v>
      </c>
      <c r="C574" s="48" t="s">
        <v>104</v>
      </c>
      <c r="D574" s="47" t="s">
        <v>46</v>
      </c>
      <c r="E574" s="47" t="s">
        <v>51</v>
      </c>
      <c r="F574" s="47" t="s">
        <v>17</v>
      </c>
      <c r="G574" s="47">
        <v>2</v>
      </c>
      <c r="H574" s="38"/>
      <c r="I574" s="47"/>
      <c r="J574" s="363" t="s">
        <v>472</v>
      </c>
      <c r="K574" s="363" t="s">
        <v>82</v>
      </c>
      <c r="L574" s="331" t="s">
        <v>17</v>
      </c>
      <c r="M574" s="363" t="s">
        <v>26</v>
      </c>
      <c r="N574" s="73"/>
      <c r="O574" s="362">
        <v>1</v>
      </c>
      <c r="P574" s="362"/>
      <c r="R574" s="223">
        <f t="shared" si="168"/>
        <v>2</v>
      </c>
      <c r="S574" s="155"/>
    </row>
    <row r="575" spans="1:19" s="61" customFormat="1" ht="15.75" customHeight="1" x14ac:dyDescent="0.25">
      <c r="A575" s="435"/>
      <c r="B575" s="48" t="s">
        <v>132</v>
      </c>
      <c r="C575" s="48" t="s">
        <v>104</v>
      </c>
      <c r="D575" s="47" t="s">
        <v>46</v>
      </c>
      <c r="E575" s="47" t="s">
        <v>51</v>
      </c>
      <c r="F575" s="47" t="s">
        <v>18</v>
      </c>
      <c r="G575" s="47"/>
      <c r="H575" s="47">
        <v>2</v>
      </c>
      <c r="I575" s="47"/>
      <c r="J575" s="363" t="s">
        <v>472</v>
      </c>
      <c r="K575" s="363" t="s">
        <v>82</v>
      </c>
      <c r="L575" s="331" t="s">
        <v>17</v>
      </c>
      <c r="M575" s="363" t="s">
        <v>26</v>
      </c>
      <c r="N575" s="73"/>
      <c r="O575" s="362"/>
      <c r="P575" s="362">
        <v>1</v>
      </c>
      <c r="R575" s="223"/>
      <c r="S575" s="155">
        <f t="shared" si="168"/>
        <v>2</v>
      </c>
    </row>
    <row r="576" spans="1:19" s="61" customFormat="1" ht="15.75" customHeight="1" x14ac:dyDescent="0.25">
      <c r="A576" s="355">
        <v>14</v>
      </c>
      <c r="B576" s="48" t="s">
        <v>133</v>
      </c>
      <c r="C576" s="48" t="s">
        <v>104</v>
      </c>
      <c r="D576" s="47" t="s">
        <v>46</v>
      </c>
      <c r="E576" s="47" t="s">
        <v>51</v>
      </c>
      <c r="F576" s="47" t="s">
        <v>17</v>
      </c>
      <c r="G576" s="47">
        <v>2</v>
      </c>
      <c r="H576" s="38"/>
      <c r="I576" s="47"/>
      <c r="J576" s="48" t="s">
        <v>454</v>
      </c>
      <c r="K576" s="48" t="s">
        <v>28</v>
      </c>
      <c r="L576" s="47" t="s">
        <v>17</v>
      </c>
      <c r="M576" s="48" t="s">
        <v>26</v>
      </c>
      <c r="N576" s="73"/>
      <c r="O576" s="362">
        <v>1</v>
      </c>
      <c r="P576" s="362"/>
      <c r="R576" s="223">
        <f t="shared" si="168"/>
        <v>2</v>
      </c>
      <c r="S576" s="155"/>
    </row>
    <row r="577" spans="1:19" s="61" customFormat="1" x14ac:dyDescent="0.25">
      <c r="A577" s="355"/>
      <c r="B577" s="48" t="s">
        <v>133</v>
      </c>
      <c r="C577" s="48" t="s">
        <v>104</v>
      </c>
      <c r="D577" s="47" t="s">
        <v>46</v>
      </c>
      <c r="E577" s="47" t="s">
        <v>51</v>
      </c>
      <c r="F577" s="47" t="s">
        <v>18</v>
      </c>
      <c r="G577" s="47"/>
      <c r="H577" s="47">
        <v>3</v>
      </c>
      <c r="I577" s="47"/>
      <c r="J577" s="363" t="s">
        <v>410</v>
      </c>
      <c r="K577" s="48" t="s">
        <v>43</v>
      </c>
      <c r="L577" s="122" t="s">
        <v>17</v>
      </c>
      <c r="M577" s="134" t="s">
        <v>26</v>
      </c>
      <c r="N577" s="73"/>
      <c r="O577" s="362"/>
      <c r="P577" s="362">
        <v>1</v>
      </c>
      <c r="R577" s="223"/>
      <c r="S577" s="155">
        <f t="shared" si="168"/>
        <v>3</v>
      </c>
    </row>
    <row r="578" spans="1:19" s="61" customFormat="1" ht="15.75" customHeight="1" x14ac:dyDescent="0.25">
      <c r="A578" s="434">
        <v>15</v>
      </c>
      <c r="B578" s="48" t="s">
        <v>134</v>
      </c>
      <c r="C578" s="48" t="s">
        <v>104</v>
      </c>
      <c r="D578" s="47" t="s">
        <v>46</v>
      </c>
      <c r="E578" s="47" t="s">
        <v>51</v>
      </c>
      <c r="F578" s="47" t="s">
        <v>17</v>
      </c>
      <c r="G578" s="47">
        <v>2</v>
      </c>
      <c r="H578" s="38"/>
      <c r="I578" s="47"/>
      <c r="J578" s="48" t="s">
        <v>496</v>
      </c>
      <c r="K578" s="48" t="s">
        <v>28</v>
      </c>
      <c r="L578" s="47" t="s">
        <v>37</v>
      </c>
      <c r="M578" s="48" t="s">
        <v>513</v>
      </c>
      <c r="N578" s="73"/>
      <c r="O578" s="362">
        <v>1</v>
      </c>
      <c r="P578" s="362"/>
      <c r="R578" s="223">
        <f t="shared" si="168"/>
        <v>2</v>
      </c>
      <c r="S578" s="155"/>
    </row>
    <row r="579" spans="1:19" s="61" customFormat="1" ht="15.75" customHeight="1" x14ac:dyDescent="0.25">
      <c r="A579" s="435"/>
      <c r="B579" s="48" t="s">
        <v>134</v>
      </c>
      <c r="C579" s="48" t="s">
        <v>104</v>
      </c>
      <c r="D579" s="47" t="s">
        <v>46</v>
      </c>
      <c r="E579" s="47" t="s">
        <v>51</v>
      </c>
      <c r="F579" s="47" t="s">
        <v>18</v>
      </c>
      <c r="G579" s="47"/>
      <c r="H579" s="47">
        <v>3</v>
      </c>
      <c r="I579" s="47"/>
      <c r="J579" s="251" t="s">
        <v>384</v>
      </c>
      <c r="K579" s="363" t="s">
        <v>31</v>
      </c>
      <c r="L579" s="331" t="s">
        <v>17</v>
      </c>
      <c r="M579" s="363" t="s">
        <v>26</v>
      </c>
      <c r="N579" s="73"/>
      <c r="O579" s="362"/>
      <c r="P579" s="362">
        <v>1</v>
      </c>
      <c r="R579" s="223"/>
      <c r="S579" s="155">
        <f t="shared" si="168"/>
        <v>3</v>
      </c>
    </row>
    <row r="580" spans="1:19" s="61" customFormat="1" x14ac:dyDescent="0.25">
      <c r="A580" s="434">
        <v>16</v>
      </c>
      <c r="B580" s="48" t="s">
        <v>544</v>
      </c>
      <c r="C580" s="48" t="s">
        <v>104</v>
      </c>
      <c r="D580" s="47" t="s">
        <v>46</v>
      </c>
      <c r="E580" s="47" t="s">
        <v>25</v>
      </c>
      <c r="F580" s="47" t="s">
        <v>17</v>
      </c>
      <c r="G580" s="47">
        <v>2</v>
      </c>
      <c r="H580" s="47"/>
      <c r="I580" s="47"/>
      <c r="J580" s="429" t="s">
        <v>566</v>
      </c>
      <c r="K580" s="427" t="s">
        <v>28</v>
      </c>
      <c r="L580" s="428" t="s">
        <v>567</v>
      </c>
      <c r="M580" s="427" t="s">
        <v>513</v>
      </c>
      <c r="N580" s="73"/>
      <c r="O580" s="362">
        <v>1</v>
      </c>
      <c r="P580" s="362"/>
      <c r="R580" s="223">
        <f t="shared" ref="R580" si="171">G580*O580</f>
        <v>2</v>
      </c>
      <c r="S580" s="155"/>
    </row>
    <row r="581" spans="1:19" s="61" customFormat="1" ht="15.75" customHeight="1" x14ac:dyDescent="0.25">
      <c r="A581" s="452"/>
      <c r="B581" s="359" t="s">
        <v>544</v>
      </c>
      <c r="C581" s="359" t="s">
        <v>104</v>
      </c>
      <c r="D581" s="367" t="s">
        <v>46</v>
      </c>
      <c r="E581" s="367" t="s">
        <v>25</v>
      </c>
      <c r="F581" s="367" t="s">
        <v>18</v>
      </c>
      <c r="G581" s="367"/>
      <c r="H581" s="367">
        <v>1</v>
      </c>
      <c r="I581" s="367"/>
      <c r="J581" s="429" t="s">
        <v>566</v>
      </c>
      <c r="K581" s="427" t="s">
        <v>28</v>
      </c>
      <c r="L581" s="428" t="s">
        <v>567</v>
      </c>
      <c r="M581" s="427" t="s">
        <v>513</v>
      </c>
      <c r="N581" s="124"/>
      <c r="O581" s="354"/>
      <c r="P581" s="354">
        <v>1</v>
      </c>
      <c r="Q581" s="125"/>
      <c r="R581" s="387"/>
      <c r="S581" s="275">
        <f t="shared" ref="S581" si="172">H581*P581</f>
        <v>1</v>
      </c>
    </row>
    <row r="582" spans="1:19" s="61" customFormat="1" x14ac:dyDescent="0.25">
      <c r="A582" s="434">
        <v>17</v>
      </c>
      <c r="B582" s="48" t="s">
        <v>135</v>
      </c>
      <c r="C582" s="48" t="s">
        <v>104</v>
      </c>
      <c r="D582" s="47" t="s">
        <v>46</v>
      </c>
      <c r="E582" s="47" t="s">
        <v>51</v>
      </c>
      <c r="F582" s="47" t="s">
        <v>17</v>
      </c>
      <c r="G582" s="47">
        <v>1</v>
      </c>
      <c r="H582" s="38"/>
      <c r="I582" s="47"/>
      <c r="J582" s="48" t="s">
        <v>496</v>
      </c>
      <c r="K582" s="48" t="s">
        <v>28</v>
      </c>
      <c r="L582" s="47" t="s">
        <v>37</v>
      </c>
      <c r="M582" s="48" t="s">
        <v>513</v>
      </c>
      <c r="N582" s="73"/>
      <c r="O582" s="362">
        <v>1</v>
      </c>
      <c r="P582" s="362"/>
      <c r="R582" s="223">
        <f t="shared" ref="R582" si="173">G582*O582</f>
        <v>1</v>
      </c>
      <c r="S582" s="155"/>
    </row>
    <row r="583" spans="1:19" s="61" customFormat="1" ht="15.75" customHeight="1" x14ac:dyDescent="0.25">
      <c r="A583" s="434"/>
      <c r="B583" s="48" t="s">
        <v>135</v>
      </c>
      <c r="C583" s="48" t="s">
        <v>104</v>
      </c>
      <c r="D583" s="47" t="s">
        <v>46</v>
      </c>
      <c r="E583" s="47" t="s">
        <v>51</v>
      </c>
      <c r="F583" s="47" t="s">
        <v>18</v>
      </c>
      <c r="G583" s="47"/>
      <c r="H583" s="47">
        <v>3</v>
      </c>
      <c r="I583" s="47"/>
      <c r="J583" s="251" t="s">
        <v>384</v>
      </c>
      <c r="K583" s="363" t="s">
        <v>31</v>
      </c>
      <c r="L583" s="331" t="s">
        <v>17</v>
      </c>
      <c r="M583" s="363" t="s">
        <v>26</v>
      </c>
      <c r="N583" s="73"/>
      <c r="O583" s="362"/>
      <c r="P583" s="362">
        <v>1</v>
      </c>
      <c r="R583" s="223"/>
      <c r="S583" s="155">
        <f t="shared" ref="S583" si="174">H583*P583</f>
        <v>3</v>
      </c>
    </row>
    <row r="584" spans="1:19" s="61" customFormat="1" ht="15.75" customHeight="1" x14ac:dyDescent="0.25">
      <c r="A584" s="434"/>
      <c r="B584" s="48" t="s">
        <v>387</v>
      </c>
      <c r="C584" s="48" t="s">
        <v>104</v>
      </c>
      <c r="D584" s="47" t="s">
        <v>46</v>
      </c>
      <c r="E584" s="47" t="s">
        <v>51</v>
      </c>
      <c r="F584" s="47" t="s">
        <v>17</v>
      </c>
      <c r="G584" s="47">
        <v>1</v>
      </c>
      <c r="H584" s="38"/>
      <c r="I584" s="47"/>
      <c r="J584" s="48" t="s">
        <v>496</v>
      </c>
      <c r="K584" s="48" t="s">
        <v>28</v>
      </c>
      <c r="L584" s="47" t="s">
        <v>37</v>
      </c>
      <c r="M584" s="48" t="s">
        <v>513</v>
      </c>
      <c r="N584" s="73"/>
      <c r="O584" s="362">
        <v>0</v>
      </c>
      <c r="P584" s="362"/>
      <c r="R584" s="223">
        <f t="shared" ref="R584" si="175">G584*O584</f>
        <v>0</v>
      </c>
      <c r="S584" s="155"/>
    </row>
    <row r="585" spans="1:19" s="61" customFormat="1" ht="15.75" customHeight="1" x14ac:dyDescent="0.25">
      <c r="A585" s="435"/>
      <c r="B585" s="48" t="s">
        <v>387</v>
      </c>
      <c r="C585" s="48" t="s">
        <v>104</v>
      </c>
      <c r="D585" s="47" t="s">
        <v>46</v>
      </c>
      <c r="E585" s="47" t="s">
        <v>51</v>
      </c>
      <c r="F585" s="47" t="s">
        <v>18</v>
      </c>
      <c r="G585" s="47"/>
      <c r="H585" s="47">
        <v>3</v>
      </c>
      <c r="I585" s="47"/>
      <c r="J585" s="251" t="s">
        <v>384</v>
      </c>
      <c r="K585" s="363" t="s">
        <v>31</v>
      </c>
      <c r="L585" s="331" t="s">
        <v>17</v>
      </c>
      <c r="M585" s="363" t="s">
        <v>26</v>
      </c>
      <c r="N585" s="73"/>
      <c r="O585" s="362"/>
      <c r="P585" s="362">
        <v>0</v>
      </c>
      <c r="R585" s="223"/>
      <c r="S585" s="155">
        <f t="shared" ref="S585" si="176">H585*P585</f>
        <v>0</v>
      </c>
    </row>
    <row r="586" spans="1:19" s="61" customFormat="1" ht="15.75" customHeight="1" x14ac:dyDescent="0.25">
      <c r="A586" s="246"/>
      <c r="B586" s="279"/>
      <c r="C586" s="279"/>
      <c r="D586" s="280"/>
      <c r="E586" s="280"/>
      <c r="F586" s="280"/>
      <c r="G586" s="280">
        <f>SUM(G549:G585)</f>
        <v>33</v>
      </c>
      <c r="H586" s="280">
        <f>SUM(H549:H585)</f>
        <v>42</v>
      </c>
      <c r="I586" s="280"/>
      <c r="J586" s="279"/>
      <c r="K586" s="279"/>
      <c r="L586" s="280"/>
      <c r="M586" s="279"/>
      <c r="N586" s="155"/>
      <c r="O586" s="155"/>
      <c r="P586" s="155"/>
      <c r="Q586" s="155"/>
      <c r="R586" s="270"/>
      <c r="S586" s="155"/>
    </row>
    <row r="587" spans="1:19" s="61" customFormat="1" ht="15.75" customHeight="1" x14ac:dyDescent="0.25">
      <c r="A587"/>
      <c r="B587" s="31"/>
      <c r="C587" s="31"/>
      <c r="D587"/>
      <c r="E587"/>
      <c r="F587"/>
      <c r="G587"/>
      <c r="H587"/>
      <c r="I587"/>
      <c r="J587"/>
      <c r="K587" s="31"/>
      <c r="L587" s="32"/>
      <c r="M587"/>
      <c r="N587"/>
      <c r="O587"/>
      <c r="P587"/>
      <c r="Q587"/>
      <c r="R587" s="66"/>
      <c r="S587"/>
    </row>
    <row r="588" spans="1:19" s="61" customFormat="1" ht="15.75" customHeight="1" x14ac:dyDescent="0.25">
      <c r="A588"/>
      <c r="B588" s="31"/>
      <c r="C588" s="31"/>
      <c r="D588"/>
      <c r="E588"/>
      <c r="F588"/>
      <c r="G588"/>
      <c r="H588"/>
      <c r="I588"/>
      <c r="J588"/>
      <c r="K588" s="31"/>
      <c r="L588" s="32"/>
      <c r="M588"/>
      <c r="N588"/>
      <c r="O588"/>
      <c r="P588"/>
      <c r="Q588"/>
      <c r="R588" s="66"/>
      <c r="S588"/>
    </row>
    <row r="589" spans="1:19" s="61" customFormat="1" x14ac:dyDescent="0.25">
      <c r="A589"/>
      <c r="B589" s="31"/>
      <c r="C589" s="31"/>
      <c r="D589"/>
      <c r="E589"/>
      <c r="F589"/>
      <c r="G589"/>
      <c r="H589"/>
      <c r="I589"/>
      <c r="J589"/>
      <c r="K589" s="31"/>
      <c r="L589" s="32"/>
      <c r="M589" s="32"/>
      <c r="N589"/>
      <c r="O589"/>
      <c r="P589"/>
      <c r="Q589"/>
      <c r="R589" s="66"/>
      <c r="S589"/>
    </row>
    <row r="590" spans="1:19" s="61" customFormat="1" ht="15.75" customHeight="1" x14ac:dyDescent="0.25">
      <c r="A590" s="6"/>
      <c r="B590" s="302" t="s">
        <v>330</v>
      </c>
      <c r="C590" s="302"/>
      <c r="D590" s="303"/>
      <c r="E590" s="303"/>
      <c r="F590" s="303"/>
      <c r="G590" s="303"/>
      <c r="H590" s="302"/>
      <c r="I590" s="302"/>
      <c r="J590" s="302"/>
      <c r="K590" s="7"/>
      <c r="L590" s="6"/>
      <c r="M590" s="7"/>
      <c r="N590"/>
      <c r="O590"/>
      <c r="P590"/>
      <c r="Q590"/>
      <c r="R590" s="66"/>
      <c r="S590"/>
    </row>
    <row r="591" spans="1:19" s="61" customFormat="1" ht="15.75" customHeight="1" x14ac:dyDescent="0.25">
      <c r="A591" s="2"/>
      <c r="B591" s="5"/>
      <c r="C591" s="5"/>
      <c r="D591" s="2"/>
      <c r="E591" s="2"/>
      <c r="F591" s="2"/>
      <c r="G591" s="2"/>
      <c r="H591" s="2"/>
      <c r="I591" s="2"/>
      <c r="J591" s="5"/>
      <c r="K591" s="5"/>
      <c r="L591" s="2"/>
      <c r="M591" s="5"/>
      <c r="N591"/>
      <c r="O591"/>
      <c r="P591"/>
      <c r="Q591"/>
      <c r="R591" s="66"/>
      <c r="S591"/>
    </row>
    <row r="592" spans="1:19" s="61" customFormat="1" ht="20.25" x14ac:dyDescent="0.25">
      <c r="A592" s="28"/>
      <c r="B592" s="315" t="s">
        <v>49</v>
      </c>
      <c r="C592" s="30"/>
      <c r="D592" s="20"/>
      <c r="E592" s="20"/>
      <c r="F592" s="20"/>
      <c r="G592" s="20"/>
      <c r="H592" s="20"/>
      <c r="I592" s="20"/>
      <c r="J592" s="29"/>
      <c r="K592" s="29"/>
      <c r="L592" s="20"/>
      <c r="M592" s="20"/>
      <c r="N592"/>
      <c r="O592"/>
      <c r="P592"/>
      <c r="Q592"/>
      <c r="R592" s="66"/>
      <c r="S592"/>
    </row>
    <row r="593" spans="1:19" s="61" customFormat="1" ht="15.75" customHeight="1" x14ac:dyDescent="0.25">
      <c r="A593"/>
      <c r="B593" s="31"/>
      <c r="C593" s="31"/>
      <c r="D593"/>
      <c r="E593"/>
      <c r="F593"/>
      <c r="G593"/>
      <c r="H593"/>
      <c r="I593"/>
      <c r="J593"/>
      <c r="K593" s="31"/>
      <c r="L593" s="32"/>
      <c r="M593" s="32"/>
      <c r="N593"/>
      <c r="O593"/>
      <c r="P593"/>
      <c r="Q593"/>
      <c r="R593" s="66"/>
      <c r="S593"/>
    </row>
    <row r="594" spans="1:19" ht="26.25" customHeight="1" x14ac:dyDescent="0.25">
      <c r="A594" s="434">
        <v>5</v>
      </c>
      <c r="B594" s="431" t="s">
        <v>143</v>
      </c>
      <c r="C594" s="457" t="s">
        <v>68</v>
      </c>
      <c r="D594" s="457" t="s">
        <v>24</v>
      </c>
      <c r="E594" s="457" t="s">
        <v>51</v>
      </c>
      <c r="F594" s="457" t="s">
        <v>321</v>
      </c>
      <c r="G594" s="288">
        <v>2</v>
      </c>
      <c r="H594" s="288"/>
      <c r="I594" s="47"/>
      <c r="J594" s="48" t="s">
        <v>453</v>
      </c>
      <c r="K594" s="359" t="s">
        <v>28</v>
      </c>
      <c r="L594" s="47" t="s">
        <v>17</v>
      </c>
      <c r="M594" s="48" t="s">
        <v>26</v>
      </c>
      <c r="N594" s="453"/>
      <c r="O594" s="244">
        <v>1</v>
      </c>
      <c r="P594" s="362"/>
      <c r="Q594" s="61"/>
      <c r="R594" s="223">
        <f t="shared" ref="R594" si="177">G594*O594</f>
        <v>2</v>
      </c>
      <c r="S594" s="155"/>
    </row>
    <row r="595" spans="1:19" ht="26.25" customHeight="1" x14ac:dyDescent="0.25">
      <c r="A595" s="435"/>
      <c r="B595" s="433"/>
      <c r="C595" s="458"/>
      <c r="D595" s="458"/>
      <c r="E595" s="458"/>
      <c r="F595" s="458"/>
      <c r="G595" s="288"/>
      <c r="H595" s="334">
        <v>2</v>
      </c>
      <c r="I595" s="331"/>
      <c r="J595" s="363"/>
      <c r="K595" s="363"/>
      <c r="L595" s="331"/>
      <c r="M595" s="363"/>
      <c r="N595" s="455"/>
      <c r="O595" s="362"/>
      <c r="P595" s="362"/>
      <c r="Q595" s="61"/>
      <c r="R595" s="223"/>
      <c r="S595" s="155"/>
    </row>
    <row r="596" spans="1:19" ht="26.25" customHeight="1" x14ac:dyDescent="0.25">
      <c r="A596" s="452">
        <v>6</v>
      </c>
      <c r="B596" s="438" t="s">
        <v>144</v>
      </c>
      <c r="C596" s="458" t="s">
        <v>68</v>
      </c>
      <c r="D596" s="458" t="s">
        <v>24</v>
      </c>
      <c r="E596" s="458" t="s">
        <v>51</v>
      </c>
      <c r="F596" s="457" t="s">
        <v>320</v>
      </c>
      <c r="G596" s="332">
        <v>1</v>
      </c>
      <c r="H596" s="288"/>
      <c r="I596" s="47"/>
      <c r="J596" s="363" t="s">
        <v>481</v>
      </c>
      <c r="K596" s="363" t="s">
        <v>28</v>
      </c>
      <c r="L596" s="331" t="s">
        <v>37</v>
      </c>
      <c r="M596" s="363" t="s">
        <v>514</v>
      </c>
      <c r="N596" s="453"/>
      <c r="O596" s="362">
        <v>1</v>
      </c>
      <c r="P596" s="362"/>
      <c r="Q596" s="61"/>
      <c r="R596" s="223">
        <f t="shared" ref="R596:R597" si="178">G596*O596</f>
        <v>1</v>
      </c>
      <c r="S596" s="155"/>
    </row>
    <row r="597" spans="1:19" ht="26.25" customHeight="1" x14ac:dyDescent="0.25">
      <c r="A597" s="447"/>
      <c r="B597" s="439"/>
      <c r="C597" s="458"/>
      <c r="D597" s="458"/>
      <c r="E597" s="458"/>
      <c r="F597" s="458"/>
      <c r="G597" s="248">
        <v>1</v>
      </c>
      <c r="H597" s="288"/>
      <c r="I597" s="47"/>
      <c r="J597" s="48" t="s">
        <v>458</v>
      </c>
      <c r="K597" s="48" t="s">
        <v>82</v>
      </c>
      <c r="L597" s="47" t="s">
        <v>17</v>
      </c>
      <c r="M597" s="48" t="s">
        <v>26</v>
      </c>
      <c r="N597" s="454"/>
      <c r="O597" s="362">
        <v>1</v>
      </c>
      <c r="P597" s="362"/>
      <c r="Q597" s="61"/>
      <c r="R597" s="223">
        <f t="shared" si="178"/>
        <v>1</v>
      </c>
      <c r="S597" s="155"/>
    </row>
    <row r="598" spans="1:19" ht="26.25" customHeight="1" x14ac:dyDescent="0.25">
      <c r="A598" s="447"/>
      <c r="B598" s="439"/>
      <c r="C598" s="458"/>
      <c r="D598" s="458"/>
      <c r="E598" s="458"/>
      <c r="F598" s="458"/>
      <c r="G598" s="288"/>
      <c r="H598" s="334">
        <v>1</v>
      </c>
      <c r="I598" s="331"/>
      <c r="J598" s="363"/>
      <c r="K598" s="363"/>
      <c r="L598" s="331"/>
      <c r="M598" s="363"/>
      <c r="N598" s="455"/>
      <c r="O598" s="362"/>
      <c r="P598" s="362"/>
      <c r="Q598" s="61"/>
      <c r="R598" s="223"/>
      <c r="S598" s="155"/>
    </row>
    <row r="599" spans="1:19" ht="26.25" customHeight="1" x14ac:dyDescent="0.25">
      <c r="A599" s="447"/>
      <c r="B599" s="431" t="s">
        <v>145</v>
      </c>
      <c r="C599" s="457"/>
      <c r="D599" s="457"/>
      <c r="E599" s="457"/>
      <c r="F599" s="457"/>
      <c r="G599" s="288">
        <v>2</v>
      </c>
      <c r="H599" s="288"/>
      <c r="I599" s="288"/>
      <c r="J599" s="55" t="s">
        <v>451</v>
      </c>
      <c r="K599" s="298" t="s">
        <v>28</v>
      </c>
      <c r="L599" s="73" t="s">
        <v>17</v>
      </c>
      <c r="M599" s="55" t="s">
        <v>26</v>
      </c>
      <c r="N599" s="470"/>
      <c r="O599" s="362">
        <v>0</v>
      </c>
      <c r="P599" s="362"/>
      <c r="Q599" s="61"/>
      <c r="R599" s="223">
        <f>G599*O599</f>
        <v>0</v>
      </c>
      <c r="S599" s="155"/>
    </row>
    <row r="600" spans="1:19" ht="26.25" customHeight="1" x14ac:dyDescent="0.25">
      <c r="A600" s="447"/>
      <c r="B600" s="433"/>
      <c r="C600" s="458"/>
      <c r="D600" s="458"/>
      <c r="E600" s="458"/>
      <c r="F600" s="458"/>
      <c r="G600" s="288"/>
      <c r="H600" s="241">
        <v>1</v>
      </c>
      <c r="I600" s="334"/>
      <c r="J600" s="363"/>
      <c r="K600" s="363"/>
      <c r="L600" s="331"/>
      <c r="M600" s="363"/>
      <c r="N600" s="455"/>
      <c r="O600" s="362"/>
      <c r="P600" s="362"/>
      <c r="Q600" s="61"/>
      <c r="R600" s="223"/>
      <c r="S600" s="155"/>
    </row>
    <row r="601" spans="1:19" ht="26.25" customHeight="1" x14ac:dyDescent="0.25">
      <c r="A601" s="447"/>
      <c r="B601" s="431" t="s">
        <v>583</v>
      </c>
      <c r="C601" s="457" t="s">
        <v>68</v>
      </c>
      <c r="D601" s="457" t="s">
        <v>24</v>
      </c>
      <c r="E601" s="457" t="s">
        <v>51</v>
      </c>
      <c r="F601" s="457" t="s">
        <v>320</v>
      </c>
      <c r="G601" s="332">
        <v>1</v>
      </c>
      <c r="H601" s="249"/>
      <c r="I601" s="288"/>
      <c r="J601" s="425" t="s">
        <v>459</v>
      </c>
      <c r="K601" s="417" t="s">
        <v>82</v>
      </c>
      <c r="L601" s="331" t="s">
        <v>17</v>
      </c>
      <c r="M601" s="363" t="s">
        <v>26</v>
      </c>
      <c r="N601" s="470"/>
      <c r="O601" s="362">
        <v>1</v>
      </c>
      <c r="P601" s="362"/>
      <c r="Q601" s="61"/>
      <c r="R601" s="223">
        <f>G601*O601</f>
        <v>1</v>
      </c>
      <c r="S601" s="155"/>
    </row>
    <row r="602" spans="1:19" ht="26.25" customHeight="1" x14ac:dyDescent="0.25">
      <c r="A602" s="447"/>
      <c r="B602" s="432"/>
      <c r="C602" s="458"/>
      <c r="D602" s="458"/>
      <c r="E602" s="458"/>
      <c r="F602" s="458"/>
      <c r="G602" s="333">
        <v>1</v>
      </c>
      <c r="H602" s="249"/>
      <c r="I602" s="288"/>
      <c r="J602" s="425" t="s">
        <v>410</v>
      </c>
      <c r="K602" s="417" t="s">
        <v>43</v>
      </c>
      <c r="L602" s="331" t="s">
        <v>17</v>
      </c>
      <c r="M602" s="425" t="s">
        <v>26</v>
      </c>
      <c r="N602" s="454"/>
      <c r="O602" s="362">
        <v>1</v>
      </c>
      <c r="P602" s="362"/>
      <c r="Q602" s="61"/>
      <c r="R602" s="223">
        <f>G602*O602</f>
        <v>1</v>
      </c>
      <c r="S602" s="155"/>
    </row>
    <row r="603" spans="1:19" s="61" customFormat="1" x14ac:dyDescent="0.25">
      <c r="A603" s="448"/>
      <c r="B603" s="433"/>
      <c r="C603" s="458"/>
      <c r="D603" s="458"/>
      <c r="E603" s="458"/>
      <c r="F603" s="458"/>
      <c r="G603" s="288"/>
      <c r="H603" s="241">
        <v>1</v>
      </c>
      <c r="I603" s="334"/>
      <c r="J603" s="363"/>
      <c r="K603" s="363"/>
      <c r="L603" s="331"/>
      <c r="M603" s="363"/>
      <c r="N603" s="455"/>
      <c r="O603" s="362"/>
      <c r="P603" s="362"/>
      <c r="R603" s="223"/>
      <c r="S603" s="155"/>
    </row>
    <row r="604" spans="1:19" s="61" customFormat="1" ht="15.75" customHeight="1" x14ac:dyDescent="0.25">
      <c r="A604" s="434">
        <v>7</v>
      </c>
      <c r="B604" s="431" t="s">
        <v>146</v>
      </c>
      <c r="C604" s="457" t="s">
        <v>68</v>
      </c>
      <c r="D604" s="457" t="s">
        <v>24</v>
      </c>
      <c r="E604" s="457" t="s">
        <v>51</v>
      </c>
      <c r="F604" s="457" t="s">
        <v>320</v>
      </c>
      <c r="G604" s="332">
        <v>2</v>
      </c>
      <c r="H604" s="288"/>
      <c r="I604" s="288"/>
      <c r="J604" s="48" t="s">
        <v>455</v>
      </c>
      <c r="K604" s="48" t="s">
        <v>28</v>
      </c>
      <c r="L604" s="47" t="s">
        <v>17</v>
      </c>
      <c r="M604" s="48" t="s">
        <v>26</v>
      </c>
      <c r="N604" s="453"/>
      <c r="O604" s="362">
        <v>1</v>
      </c>
      <c r="P604" s="362"/>
      <c r="R604" s="223">
        <f>G604*O604</f>
        <v>2</v>
      </c>
      <c r="S604" s="155"/>
    </row>
    <row r="605" spans="1:19" s="61" customFormat="1" ht="15.75" customHeight="1" x14ac:dyDescent="0.25">
      <c r="A605" s="434"/>
      <c r="B605" s="432"/>
      <c r="C605" s="458"/>
      <c r="D605" s="458"/>
      <c r="E605" s="458"/>
      <c r="F605" s="458"/>
      <c r="G605" s="333"/>
      <c r="H605" s="288"/>
      <c r="I605" s="288"/>
      <c r="J605" s="251"/>
      <c r="K605" s="363"/>
      <c r="L605" s="47"/>
      <c r="M605" s="48"/>
      <c r="N605" s="454"/>
      <c r="O605" s="362">
        <v>0</v>
      </c>
      <c r="P605" s="362"/>
      <c r="R605" s="223">
        <f>G605*O605</f>
        <v>0</v>
      </c>
      <c r="S605" s="155"/>
    </row>
    <row r="606" spans="1:19" s="61" customFormat="1" x14ac:dyDescent="0.25">
      <c r="A606" s="434"/>
      <c r="B606" s="433"/>
      <c r="C606" s="458"/>
      <c r="D606" s="458"/>
      <c r="E606" s="458"/>
      <c r="F606" s="458"/>
      <c r="G606" s="288"/>
      <c r="H606" s="334">
        <v>1</v>
      </c>
      <c r="I606" s="334"/>
      <c r="J606" s="363"/>
      <c r="K606" s="363"/>
      <c r="L606" s="331"/>
      <c r="M606" s="363"/>
      <c r="N606" s="455"/>
      <c r="O606" s="362"/>
      <c r="P606" s="362"/>
      <c r="R606" s="223"/>
      <c r="S606" s="155"/>
    </row>
    <row r="607" spans="1:19" s="61" customFormat="1" ht="15.75" customHeight="1" x14ac:dyDescent="0.25">
      <c r="A607" s="435"/>
      <c r="B607" s="431" t="s">
        <v>147</v>
      </c>
      <c r="C607" s="434" t="s">
        <v>68</v>
      </c>
      <c r="D607" s="434" t="s">
        <v>24</v>
      </c>
      <c r="E607" s="434" t="s">
        <v>51</v>
      </c>
      <c r="F607" s="434" t="s">
        <v>320</v>
      </c>
      <c r="G607" s="288">
        <v>1</v>
      </c>
      <c r="H607" s="288"/>
      <c r="I607" s="288"/>
      <c r="J607" s="251" t="s">
        <v>469</v>
      </c>
      <c r="K607" s="365" t="s">
        <v>28</v>
      </c>
      <c r="L607" s="73" t="s">
        <v>17</v>
      </c>
      <c r="M607" s="74" t="s">
        <v>26</v>
      </c>
      <c r="N607" s="470"/>
      <c r="O607" s="362">
        <v>1</v>
      </c>
      <c r="P607" s="362"/>
      <c r="R607" s="223">
        <f>G607*O607</f>
        <v>1</v>
      </c>
      <c r="S607" s="155"/>
    </row>
    <row r="608" spans="1:19" s="61" customFormat="1" ht="25.5" x14ac:dyDescent="0.25">
      <c r="A608" s="435"/>
      <c r="B608" s="432"/>
      <c r="C608" s="435"/>
      <c r="D608" s="435"/>
      <c r="E608" s="435"/>
      <c r="F608" s="435"/>
      <c r="G608" s="288">
        <v>1</v>
      </c>
      <c r="H608" s="288"/>
      <c r="I608" s="288"/>
      <c r="J608" s="365" t="s">
        <v>477</v>
      </c>
      <c r="K608" s="48" t="s">
        <v>82</v>
      </c>
      <c r="L608" s="73" t="s">
        <v>17</v>
      </c>
      <c r="M608" s="74" t="s">
        <v>26</v>
      </c>
      <c r="N608" s="454"/>
      <c r="O608" s="362">
        <v>1</v>
      </c>
      <c r="P608" s="362"/>
      <c r="R608" s="223">
        <f>G608*O608</f>
        <v>1</v>
      </c>
      <c r="S608" s="155"/>
    </row>
    <row r="609" spans="1:19" s="61" customFormat="1" x14ac:dyDescent="0.25">
      <c r="A609" s="435"/>
      <c r="B609" s="433"/>
      <c r="C609" s="435"/>
      <c r="D609" s="435"/>
      <c r="E609" s="435"/>
      <c r="F609" s="435"/>
      <c r="G609" s="288"/>
      <c r="H609" s="334">
        <v>1</v>
      </c>
      <c r="I609" s="334"/>
      <c r="J609" s="363"/>
      <c r="K609" s="363"/>
      <c r="L609" s="331"/>
      <c r="M609" s="363"/>
      <c r="N609" s="455"/>
      <c r="O609" s="362"/>
      <c r="P609" s="362"/>
      <c r="R609" s="223"/>
      <c r="S609" s="155"/>
    </row>
    <row r="610" spans="1:19" s="61" customFormat="1" ht="15.75" customHeight="1" x14ac:dyDescent="0.25">
      <c r="A610" s="435"/>
      <c r="B610" s="431" t="s">
        <v>148</v>
      </c>
      <c r="C610" s="434" t="s">
        <v>68</v>
      </c>
      <c r="D610" s="434" t="s">
        <v>24</v>
      </c>
      <c r="E610" s="434" t="s">
        <v>51</v>
      </c>
      <c r="F610" s="434" t="s">
        <v>320</v>
      </c>
      <c r="G610" s="529">
        <v>2</v>
      </c>
      <c r="H610" s="529"/>
      <c r="I610" s="529"/>
      <c r="J610" s="530" t="s">
        <v>563</v>
      </c>
      <c r="K610" s="437" t="s">
        <v>82</v>
      </c>
      <c r="L610" s="474" t="s">
        <v>17</v>
      </c>
      <c r="M610" s="437" t="s">
        <v>26</v>
      </c>
      <c r="N610" s="470"/>
      <c r="O610" s="453">
        <v>1</v>
      </c>
      <c r="P610" s="453"/>
      <c r="Q610" s="534"/>
      <c r="R610" s="533">
        <f t="shared" ref="R610:R611" si="179">G610*O610</f>
        <v>2</v>
      </c>
      <c r="S610" s="155"/>
    </row>
    <row r="611" spans="1:19" s="61" customFormat="1" x14ac:dyDescent="0.25">
      <c r="A611" s="435"/>
      <c r="B611" s="432"/>
      <c r="C611" s="435"/>
      <c r="D611" s="435"/>
      <c r="E611" s="435"/>
      <c r="F611" s="435"/>
      <c r="G611" s="455"/>
      <c r="H611" s="455"/>
      <c r="I611" s="455"/>
      <c r="J611" s="531"/>
      <c r="K611" s="433"/>
      <c r="L611" s="455"/>
      <c r="M611" s="536"/>
      <c r="N611" s="454"/>
      <c r="O611" s="455"/>
      <c r="P611" s="455"/>
      <c r="Q611" s="535"/>
      <c r="R611" s="448">
        <f t="shared" si="179"/>
        <v>0</v>
      </c>
      <c r="S611" s="155"/>
    </row>
    <row r="612" spans="1:19" s="61" customFormat="1" ht="15.75" customHeight="1" x14ac:dyDescent="0.25">
      <c r="A612" s="435"/>
      <c r="B612" s="433"/>
      <c r="C612" s="435"/>
      <c r="D612" s="435"/>
      <c r="E612" s="435"/>
      <c r="F612" s="435"/>
      <c r="G612" s="288"/>
      <c r="H612" s="334">
        <v>1</v>
      </c>
      <c r="I612" s="334"/>
      <c r="J612" s="363"/>
      <c r="K612" s="363"/>
      <c r="L612" s="331"/>
      <c r="M612" s="363"/>
      <c r="N612" s="455"/>
      <c r="O612" s="362"/>
      <c r="P612" s="362"/>
      <c r="R612" s="223"/>
      <c r="S612" s="155"/>
    </row>
    <row r="613" spans="1:19" s="61" customFormat="1" ht="15.75" customHeight="1" x14ac:dyDescent="0.25">
      <c r="A613" s="434">
        <v>8</v>
      </c>
      <c r="B613" s="431" t="s">
        <v>149</v>
      </c>
      <c r="C613" s="434" t="s">
        <v>68</v>
      </c>
      <c r="D613" s="434" t="s">
        <v>24</v>
      </c>
      <c r="E613" s="434" t="s">
        <v>51</v>
      </c>
      <c r="F613" s="434" t="s">
        <v>320</v>
      </c>
      <c r="G613" s="332">
        <v>1</v>
      </c>
      <c r="H613" s="288"/>
      <c r="I613" s="288"/>
      <c r="J613" s="48" t="s">
        <v>409</v>
      </c>
      <c r="K613" s="48" t="s">
        <v>43</v>
      </c>
      <c r="L613" s="47" t="s">
        <v>17</v>
      </c>
      <c r="M613" s="48" t="s">
        <v>26</v>
      </c>
      <c r="N613" s="453"/>
      <c r="O613" s="362">
        <v>1</v>
      </c>
      <c r="P613" s="362"/>
      <c r="R613" s="223">
        <f>G613*O613</f>
        <v>1</v>
      </c>
      <c r="S613" s="155"/>
    </row>
    <row r="614" spans="1:19" s="61" customFormat="1" x14ac:dyDescent="0.25">
      <c r="A614" s="434"/>
      <c r="B614" s="432"/>
      <c r="C614" s="435"/>
      <c r="D614" s="435"/>
      <c r="E614" s="435"/>
      <c r="F614" s="435"/>
      <c r="G614" s="333">
        <v>1</v>
      </c>
      <c r="H614" s="288"/>
      <c r="I614" s="288"/>
      <c r="J614" s="251" t="s">
        <v>447</v>
      </c>
      <c r="K614" s="251" t="s">
        <v>28</v>
      </c>
      <c r="L614" s="331" t="s">
        <v>17</v>
      </c>
      <c r="M614" s="363" t="s">
        <v>26</v>
      </c>
      <c r="N614" s="454"/>
      <c r="O614" s="362">
        <v>1</v>
      </c>
      <c r="P614" s="362"/>
      <c r="R614" s="223">
        <f>G614*O614</f>
        <v>1</v>
      </c>
      <c r="S614" s="155"/>
    </row>
    <row r="615" spans="1:19" s="61" customFormat="1" ht="15.75" customHeight="1" x14ac:dyDescent="0.25">
      <c r="A615" s="434"/>
      <c r="B615" s="433"/>
      <c r="C615" s="435"/>
      <c r="D615" s="435"/>
      <c r="E615" s="435"/>
      <c r="F615" s="435"/>
      <c r="G615" s="288"/>
      <c r="H615" s="334">
        <v>2</v>
      </c>
      <c r="I615" s="334"/>
      <c r="J615" s="363"/>
      <c r="K615" s="363"/>
      <c r="L615" s="331"/>
      <c r="M615" s="363"/>
      <c r="N615" s="455"/>
      <c r="O615" s="362"/>
      <c r="P615" s="362"/>
      <c r="R615" s="223"/>
      <c r="S615" s="155"/>
    </row>
    <row r="616" spans="1:19" s="61" customFormat="1" x14ac:dyDescent="0.25">
      <c r="A616" s="545"/>
      <c r="B616" s="431" t="s">
        <v>150</v>
      </c>
      <c r="C616" s="434" t="s">
        <v>68</v>
      </c>
      <c r="D616" s="434" t="s">
        <v>24</v>
      </c>
      <c r="E616" s="434" t="s">
        <v>51</v>
      </c>
      <c r="F616" s="434" t="s">
        <v>320</v>
      </c>
      <c r="G616" s="332">
        <v>2</v>
      </c>
      <c r="H616" s="288"/>
      <c r="I616" s="288"/>
      <c r="J616" s="55" t="s">
        <v>451</v>
      </c>
      <c r="K616" s="298" t="s">
        <v>28</v>
      </c>
      <c r="L616" s="73" t="s">
        <v>17</v>
      </c>
      <c r="M616" s="55" t="s">
        <v>26</v>
      </c>
      <c r="N616" s="470"/>
      <c r="O616" s="362">
        <v>0</v>
      </c>
      <c r="P616" s="362"/>
      <c r="R616" s="223">
        <f>G616*O616</f>
        <v>0</v>
      </c>
      <c r="S616" s="155"/>
    </row>
    <row r="617" spans="1:19" s="61" customFormat="1" ht="15.75" customHeight="1" x14ac:dyDescent="0.25">
      <c r="A617" s="545"/>
      <c r="B617" s="432"/>
      <c r="C617" s="435"/>
      <c r="D617" s="435"/>
      <c r="E617" s="435"/>
      <c r="F617" s="435"/>
      <c r="G617" s="333"/>
      <c r="H617" s="288"/>
      <c r="I617" s="288"/>
      <c r="J617" s="150"/>
      <c r="K617" s="48"/>
      <c r="L617" s="56"/>
      <c r="M617" s="48"/>
      <c r="N617" s="454"/>
      <c r="O617" s="244">
        <v>0</v>
      </c>
      <c r="P617" s="362"/>
      <c r="R617" s="223">
        <f>G617*O617</f>
        <v>0</v>
      </c>
      <c r="S617" s="155"/>
    </row>
    <row r="618" spans="1:19" s="61" customFormat="1" x14ac:dyDescent="0.25">
      <c r="A618" s="545"/>
      <c r="B618" s="433"/>
      <c r="C618" s="435"/>
      <c r="D618" s="435"/>
      <c r="E618" s="435"/>
      <c r="F618" s="435"/>
      <c r="G618" s="288"/>
      <c r="H618" s="334">
        <v>2</v>
      </c>
      <c r="I618" s="334"/>
      <c r="J618" s="363"/>
      <c r="K618" s="363"/>
      <c r="L618" s="331"/>
      <c r="M618" s="363"/>
      <c r="N618" s="455"/>
      <c r="O618" s="362"/>
      <c r="P618" s="362"/>
      <c r="R618" s="223"/>
      <c r="S618" s="155"/>
    </row>
    <row r="619" spans="1:19" s="61" customFormat="1" ht="15.75" customHeight="1" x14ac:dyDescent="0.25">
      <c r="A619" s="545"/>
      <c r="B619" s="431" t="s">
        <v>584</v>
      </c>
      <c r="C619" s="434" t="s">
        <v>68</v>
      </c>
      <c r="D619" s="434" t="s">
        <v>24</v>
      </c>
      <c r="E619" s="434" t="s">
        <v>51</v>
      </c>
      <c r="F619" s="434" t="s">
        <v>320</v>
      </c>
      <c r="G619" s="288">
        <v>1</v>
      </c>
      <c r="H619" s="288"/>
      <c r="I619" s="288"/>
      <c r="J619" s="363" t="s">
        <v>459</v>
      </c>
      <c r="K619" s="48" t="s">
        <v>82</v>
      </c>
      <c r="L619" s="331" t="s">
        <v>17</v>
      </c>
      <c r="M619" s="363" t="s">
        <v>26</v>
      </c>
      <c r="N619" s="470"/>
      <c r="O619" s="362">
        <v>1</v>
      </c>
      <c r="P619" s="362"/>
      <c r="R619" s="223">
        <f>G619*O619</f>
        <v>1</v>
      </c>
      <c r="S619" s="155"/>
    </row>
    <row r="620" spans="1:19" s="61" customFormat="1" x14ac:dyDescent="0.25">
      <c r="A620" s="545"/>
      <c r="B620" s="432"/>
      <c r="C620" s="435"/>
      <c r="D620" s="435"/>
      <c r="E620" s="435"/>
      <c r="F620" s="435"/>
      <c r="G620" s="250">
        <v>1</v>
      </c>
      <c r="H620" s="288"/>
      <c r="I620" s="288"/>
      <c r="J620" s="425" t="s">
        <v>410</v>
      </c>
      <c r="K620" s="417" t="s">
        <v>43</v>
      </c>
      <c r="L620" s="331" t="s">
        <v>17</v>
      </c>
      <c r="M620" s="425" t="s">
        <v>26</v>
      </c>
      <c r="N620" s="454"/>
      <c r="O620" s="362">
        <v>1</v>
      </c>
      <c r="P620" s="362"/>
      <c r="R620" s="223">
        <f>G620*O620</f>
        <v>1</v>
      </c>
      <c r="S620" s="155"/>
    </row>
    <row r="621" spans="1:19" s="61" customFormat="1" ht="15.75" customHeight="1" x14ac:dyDescent="0.25">
      <c r="A621" s="545"/>
      <c r="B621" s="433"/>
      <c r="C621" s="435"/>
      <c r="D621" s="435"/>
      <c r="E621" s="435"/>
      <c r="F621" s="435"/>
      <c r="G621" s="288"/>
      <c r="H621" s="334">
        <v>2</v>
      </c>
      <c r="I621" s="334"/>
      <c r="J621" s="363"/>
      <c r="K621" s="363"/>
      <c r="L621" s="331"/>
      <c r="M621" s="363"/>
      <c r="N621" s="455"/>
      <c r="O621" s="362"/>
      <c r="P621" s="362"/>
      <c r="R621" s="223"/>
      <c r="S621" s="155"/>
    </row>
    <row r="622" spans="1:19" s="61" customFormat="1" x14ac:dyDescent="0.25">
      <c r="A622" s="545"/>
      <c r="B622" s="431" t="s">
        <v>151</v>
      </c>
      <c r="C622" s="434" t="s">
        <v>68</v>
      </c>
      <c r="D622" s="434" t="s">
        <v>24</v>
      </c>
      <c r="E622" s="434" t="s">
        <v>51</v>
      </c>
      <c r="F622" s="434" t="s">
        <v>320</v>
      </c>
      <c r="G622" s="288">
        <v>2</v>
      </c>
      <c r="H622" s="288"/>
      <c r="I622" s="288"/>
      <c r="J622" s="48" t="s">
        <v>455</v>
      </c>
      <c r="K622" s="48" t="s">
        <v>28</v>
      </c>
      <c r="L622" s="47" t="s">
        <v>17</v>
      </c>
      <c r="M622" s="48" t="s">
        <v>26</v>
      </c>
      <c r="N622" s="470"/>
      <c r="O622" s="362">
        <v>1</v>
      </c>
      <c r="P622" s="362"/>
      <c r="R622" s="223">
        <f>G622*O622</f>
        <v>2</v>
      </c>
      <c r="S622" s="155"/>
    </row>
    <row r="623" spans="1:19" s="61" customFormat="1" ht="15.75" customHeight="1" x14ac:dyDescent="0.25">
      <c r="A623" s="545"/>
      <c r="B623" s="432"/>
      <c r="C623" s="435"/>
      <c r="D623" s="435"/>
      <c r="E623" s="435"/>
      <c r="F623" s="435"/>
      <c r="G623" s="288">
        <v>0</v>
      </c>
      <c r="H623" s="288"/>
      <c r="I623" s="288"/>
      <c r="J623" s="55" t="s">
        <v>466</v>
      </c>
      <c r="K623" s="48" t="s">
        <v>564</v>
      </c>
      <c r="L623" s="47" t="s">
        <v>17</v>
      </c>
      <c r="M623" s="48" t="s">
        <v>26</v>
      </c>
      <c r="N623" s="454"/>
      <c r="O623" s="362">
        <v>0</v>
      </c>
      <c r="P623" s="362"/>
      <c r="R623" s="223">
        <f>G623*O623</f>
        <v>0</v>
      </c>
      <c r="S623" s="155"/>
    </row>
    <row r="624" spans="1:19" s="61" customFormat="1" x14ac:dyDescent="0.25">
      <c r="A624" s="545"/>
      <c r="B624" s="433"/>
      <c r="C624" s="435"/>
      <c r="D624" s="435"/>
      <c r="E624" s="435"/>
      <c r="F624" s="435"/>
      <c r="G624" s="288"/>
      <c r="H624" s="334">
        <v>2</v>
      </c>
      <c r="I624" s="334"/>
      <c r="J624" s="363"/>
      <c r="K624" s="363"/>
      <c r="L624" s="331"/>
      <c r="M624" s="363"/>
      <c r="N624" s="455"/>
      <c r="O624" s="362"/>
      <c r="P624" s="362"/>
      <c r="R624" s="223"/>
      <c r="S624" s="155"/>
    </row>
    <row r="625" spans="1:19" s="61" customFormat="1" ht="15.75" customHeight="1" x14ac:dyDescent="0.25">
      <c r="A625" s="545"/>
      <c r="B625" s="431" t="s">
        <v>152</v>
      </c>
      <c r="C625" s="434" t="s">
        <v>68</v>
      </c>
      <c r="D625" s="434" t="s">
        <v>24</v>
      </c>
      <c r="E625" s="434" t="s">
        <v>51</v>
      </c>
      <c r="F625" s="434" t="s">
        <v>320</v>
      </c>
      <c r="G625" s="288">
        <v>1</v>
      </c>
      <c r="H625" s="288"/>
      <c r="I625" s="288"/>
      <c r="J625" s="251" t="s">
        <v>469</v>
      </c>
      <c r="K625" s="365" t="s">
        <v>28</v>
      </c>
      <c r="L625" s="73" t="s">
        <v>17</v>
      </c>
      <c r="M625" s="74" t="s">
        <v>26</v>
      </c>
      <c r="N625" s="470"/>
      <c r="O625" s="362">
        <v>1</v>
      </c>
      <c r="P625" s="362"/>
      <c r="R625" s="223">
        <f>G625*O625</f>
        <v>1</v>
      </c>
      <c r="S625" s="155"/>
    </row>
    <row r="626" spans="1:19" s="61" customFormat="1" ht="25.5" x14ac:dyDescent="0.25">
      <c r="A626" s="545"/>
      <c r="B626" s="432"/>
      <c r="C626" s="435"/>
      <c r="D626" s="435"/>
      <c r="E626" s="435"/>
      <c r="F626" s="435"/>
      <c r="G626" s="288">
        <v>1</v>
      </c>
      <c r="H626" s="288"/>
      <c r="I626" s="288"/>
      <c r="J626" s="365" t="s">
        <v>477</v>
      </c>
      <c r="K626" s="48" t="s">
        <v>82</v>
      </c>
      <c r="L626" s="73" t="s">
        <v>17</v>
      </c>
      <c r="M626" s="74" t="s">
        <v>26</v>
      </c>
      <c r="N626" s="454"/>
      <c r="O626" s="362">
        <v>1</v>
      </c>
      <c r="P626" s="362"/>
      <c r="R626" s="223">
        <f>G626*O626</f>
        <v>1</v>
      </c>
      <c r="S626" s="155"/>
    </row>
    <row r="627" spans="1:19" s="61" customFormat="1" x14ac:dyDescent="0.25">
      <c r="A627" s="545"/>
      <c r="B627" s="433"/>
      <c r="C627" s="435"/>
      <c r="D627" s="435"/>
      <c r="E627" s="435"/>
      <c r="F627" s="435"/>
      <c r="G627" s="288"/>
      <c r="H627" s="334">
        <v>2</v>
      </c>
      <c r="I627" s="334"/>
      <c r="J627" s="363"/>
      <c r="K627" s="363"/>
      <c r="L627" s="331"/>
      <c r="M627" s="363"/>
      <c r="N627" s="455"/>
      <c r="O627" s="362"/>
      <c r="P627" s="362"/>
      <c r="R627" s="223"/>
      <c r="S627" s="155"/>
    </row>
    <row r="628" spans="1:19" s="61" customFormat="1" ht="15.75" customHeight="1" x14ac:dyDescent="0.25">
      <c r="A628" s="545"/>
      <c r="B628" s="431" t="s">
        <v>153</v>
      </c>
      <c r="C628" s="434" t="s">
        <v>68</v>
      </c>
      <c r="D628" s="434" t="s">
        <v>24</v>
      </c>
      <c r="E628" s="434" t="s">
        <v>51</v>
      </c>
      <c r="F628" s="434" t="s">
        <v>320</v>
      </c>
      <c r="G628" s="288">
        <v>2</v>
      </c>
      <c r="H628" s="288"/>
      <c r="I628" s="288"/>
      <c r="J628" s="388" t="s">
        <v>563</v>
      </c>
      <c r="K628" s="425" t="s">
        <v>82</v>
      </c>
      <c r="L628" s="331" t="s">
        <v>17</v>
      </c>
      <c r="M628" s="363" t="s">
        <v>26</v>
      </c>
      <c r="N628" s="470"/>
      <c r="O628" s="362">
        <v>1</v>
      </c>
      <c r="P628" s="362"/>
      <c r="R628" s="223">
        <f>G628*O628</f>
        <v>2</v>
      </c>
      <c r="S628" s="155"/>
    </row>
    <row r="629" spans="1:19" s="61" customFormat="1" ht="15.75" customHeight="1" x14ac:dyDescent="0.25">
      <c r="A629" s="545"/>
      <c r="B629" s="432"/>
      <c r="C629" s="435"/>
      <c r="D629" s="435"/>
      <c r="E629" s="435"/>
      <c r="F629" s="435"/>
      <c r="G629" s="288"/>
      <c r="H629" s="288"/>
      <c r="I629" s="288"/>
      <c r="J629" s="150"/>
      <c r="K629" s="363"/>
      <c r="L629" s="331"/>
      <c r="M629" s="363"/>
      <c r="N629" s="454"/>
      <c r="O629" s="362">
        <v>0</v>
      </c>
      <c r="P629" s="362"/>
      <c r="R629" s="223">
        <f>G629*O629</f>
        <v>0</v>
      </c>
      <c r="S629" s="155"/>
    </row>
    <row r="630" spans="1:19" s="61" customFormat="1" x14ac:dyDescent="0.25">
      <c r="A630" s="545"/>
      <c r="B630" s="433"/>
      <c r="C630" s="435"/>
      <c r="D630" s="435"/>
      <c r="E630" s="435"/>
      <c r="F630" s="435"/>
      <c r="G630" s="288"/>
      <c r="H630" s="334">
        <v>2</v>
      </c>
      <c r="I630" s="334"/>
      <c r="J630" s="363"/>
      <c r="K630" s="363"/>
      <c r="L630" s="331"/>
      <c r="M630" s="363"/>
      <c r="N630" s="455"/>
      <c r="O630" s="362"/>
      <c r="P630" s="362"/>
      <c r="R630" s="223"/>
      <c r="S630" s="155"/>
    </row>
    <row r="631" spans="1:19" s="61" customFormat="1" ht="15.75" customHeight="1" x14ac:dyDescent="0.25">
      <c r="A631" s="155"/>
      <c r="B631" s="276"/>
      <c r="C631" s="276"/>
      <c r="D631" s="155"/>
      <c r="E631" s="155"/>
      <c r="F631" s="155"/>
      <c r="G631" s="277">
        <f>SUM(G604:G629)</f>
        <v>18</v>
      </c>
      <c r="H631" s="277">
        <f>SUM(H604:H629)</f>
        <v>13</v>
      </c>
      <c r="I631" s="155"/>
      <c r="J631" s="155"/>
      <c r="K631" s="276"/>
      <c r="L631" s="278"/>
      <c r="M631" s="155"/>
      <c r="N631" s="155"/>
      <c r="O631" s="155"/>
      <c r="P631" s="155"/>
      <c r="Q631" s="155"/>
      <c r="R631" s="270"/>
      <c r="S631" s="155"/>
    </row>
    <row r="632" spans="1:19" s="61" customFormat="1" ht="15.75" customHeight="1" x14ac:dyDescent="0.25">
      <c r="A632"/>
      <c r="B632" s="31"/>
      <c r="C632" s="31"/>
      <c r="D632"/>
      <c r="E632"/>
      <c r="F632"/>
      <c r="G632"/>
      <c r="H632"/>
      <c r="I632"/>
      <c r="J632"/>
      <c r="K632" s="31"/>
      <c r="L632" s="32"/>
      <c r="M632" s="32"/>
      <c r="N632"/>
      <c r="O632"/>
      <c r="P632"/>
      <c r="Q632"/>
      <c r="R632" s="66"/>
      <c r="S632"/>
    </row>
    <row r="633" spans="1:19" s="61" customFormat="1" ht="21" x14ac:dyDescent="0.25">
      <c r="A633" s="6"/>
      <c r="B633" s="320" t="s">
        <v>331</v>
      </c>
      <c r="C633" s="320"/>
      <c r="D633" s="321"/>
      <c r="E633" s="321"/>
      <c r="F633" s="321"/>
      <c r="G633" s="321"/>
      <c r="H633" s="320"/>
      <c r="I633" s="320"/>
      <c r="J633" s="320"/>
      <c r="K633" s="320"/>
      <c r="L633" s="6"/>
      <c r="M633" s="7"/>
      <c r="N633"/>
      <c r="O633"/>
      <c r="P633"/>
      <c r="Q633"/>
      <c r="R633" s="66"/>
      <c r="S633"/>
    </row>
    <row r="634" spans="1:19" s="61" customFormat="1" ht="15.75" customHeight="1" x14ac:dyDescent="0.25">
      <c r="A634" s="2"/>
      <c r="B634" s="5"/>
      <c r="C634" s="5"/>
      <c r="D634" s="2"/>
      <c r="E634" s="2"/>
      <c r="F634" s="2"/>
      <c r="G634" s="2"/>
      <c r="H634" s="2"/>
      <c r="I634" s="2"/>
      <c r="J634" s="5"/>
      <c r="K634" s="5"/>
      <c r="L634" s="2"/>
      <c r="M634" s="5"/>
      <c r="N634"/>
      <c r="O634"/>
      <c r="P634"/>
      <c r="Q634"/>
      <c r="R634" s="66"/>
      <c r="S634"/>
    </row>
    <row r="635" spans="1:19" s="61" customFormat="1" ht="15.75" customHeight="1" x14ac:dyDescent="0.25">
      <c r="A635"/>
      <c r="B635" s="315" t="s">
        <v>49</v>
      </c>
      <c r="C635" s="29"/>
      <c r="D635"/>
      <c r="E635"/>
      <c r="F635"/>
      <c r="G635"/>
      <c r="H635"/>
      <c r="I635"/>
      <c r="J635"/>
      <c r="K635" s="31"/>
      <c r="L635" s="32"/>
      <c r="M635" s="32"/>
      <c r="N635"/>
      <c r="O635"/>
      <c r="P635"/>
      <c r="Q635"/>
      <c r="R635" s="66"/>
      <c r="S635"/>
    </row>
    <row r="636" spans="1:19" s="61" customFormat="1" ht="15.75" customHeight="1" x14ac:dyDescent="0.25">
      <c r="A636"/>
      <c r="B636" s="53"/>
      <c r="C636" s="29"/>
      <c r="D636"/>
      <c r="E636"/>
      <c r="F636"/>
      <c r="G636"/>
      <c r="H636"/>
      <c r="I636"/>
      <c r="J636"/>
      <c r="K636" s="31"/>
      <c r="L636" s="32"/>
      <c r="M636" s="32"/>
      <c r="N636"/>
      <c r="O636"/>
      <c r="P636"/>
      <c r="Q636"/>
      <c r="R636" s="66"/>
      <c r="S636"/>
    </row>
    <row r="637" spans="1:19" ht="26.25" customHeight="1" x14ac:dyDescent="0.25">
      <c r="A637" s="434">
        <v>10</v>
      </c>
      <c r="B637" s="437" t="s">
        <v>579</v>
      </c>
      <c r="C637" s="48" t="s">
        <v>35</v>
      </c>
      <c r="D637" s="47" t="s">
        <v>24</v>
      </c>
      <c r="E637" s="47" t="s">
        <v>51</v>
      </c>
      <c r="F637" s="47" t="s">
        <v>321</v>
      </c>
      <c r="G637" s="47">
        <v>2</v>
      </c>
      <c r="H637" s="47"/>
      <c r="I637" s="47"/>
      <c r="J637" s="363" t="s">
        <v>457</v>
      </c>
      <c r="K637" s="363" t="s">
        <v>43</v>
      </c>
      <c r="L637" s="47" t="s">
        <v>17</v>
      </c>
      <c r="M637" s="48" t="s">
        <v>26</v>
      </c>
      <c r="N637" s="453"/>
      <c r="O637" s="265">
        <v>1</v>
      </c>
      <c r="P637" s="266"/>
      <c r="Q637" s="267"/>
      <c r="R637" s="273">
        <f>G637*O637</f>
        <v>2</v>
      </c>
      <c r="S637" s="155"/>
    </row>
    <row r="638" spans="1:19" ht="26.25" customHeight="1" x14ac:dyDescent="0.25">
      <c r="A638" s="435"/>
      <c r="B638" s="465"/>
      <c r="C638" s="48"/>
      <c r="D638" s="47"/>
      <c r="E638" s="47"/>
      <c r="F638" s="47"/>
      <c r="G638" s="47"/>
      <c r="H638" s="331">
        <v>2</v>
      </c>
      <c r="I638" s="331"/>
      <c r="J638" s="363"/>
      <c r="K638" s="363"/>
      <c r="L638" s="331"/>
      <c r="M638" s="363"/>
      <c r="N638" s="455"/>
      <c r="O638" s="265"/>
      <c r="P638" s="266"/>
      <c r="Q638" s="267"/>
      <c r="R638" s="273"/>
      <c r="S638" s="155"/>
    </row>
    <row r="639" spans="1:19" s="424" customFormat="1" ht="15.75" customHeight="1" x14ac:dyDescent="0.25">
      <c r="A639" s="452">
        <v>11</v>
      </c>
      <c r="B639" s="438" t="s">
        <v>168</v>
      </c>
      <c r="C639" s="441" t="s">
        <v>35</v>
      </c>
      <c r="D639" s="434" t="s">
        <v>24</v>
      </c>
      <c r="E639" s="434" t="s">
        <v>51</v>
      </c>
      <c r="F639" s="434" t="s">
        <v>320</v>
      </c>
      <c r="G639" s="422">
        <v>1</v>
      </c>
      <c r="H639" s="419"/>
      <c r="I639" s="418"/>
      <c r="J639" s="425" t="s">
        <v>459</v>
      </c>
      <c r="K639" s="417" t="s">
        <v>82</v>
      </c>
      <c r="L639" s="331" t="s">
        <v>17</v>
      </c>
      <c r="M639" s="425" t="s">
        <v>26</v>
      </c>
      <c r="N639" s="453"/>
      <c r="O639" s="265">
        <v>1</v>
      </c>
      <c r="P639" s="136"/>
      <c r="Q639" s="136"/>
      <c r="R639" s="273">
        <f>G639*O639</f>
        <v>1</v>
      </c>
      <c r="S639" s="155"/>
    </row>
    <row r="640" spans="1:19" s="424" customFormat="1" x14ac:dyDescent="0.25">
      <c r="A640" s="447"/>
      <c r="B640" s="439"/>
      <c r="C640" s="442"/>
      <c r="D640" s="435"/>
      <c r="E640" s="435"/>
      <c r="F640" s="435"/>
      <c r="G640" s="422">
        <v>1</v>
      </c>
      <c r="H640" s="419"/>
      <c r="I640" s="418"/>
      <c r="J640" s="150" t="s">
        <v>410</v>
      </c>
      <c r="K640" s="425" t="s">
        <v>43</v>
      </c>
      <c r="L640" s="418" t="s">
        <v>17</v>
      </c>
      <c r="M640" s="417" t="s">
        <v>26</v>
      </c>
      <c r="N640" s="454"/>
      <c r="O640" s="265">
        <v>1</v>
      </c>
      <c r="P640" s="136"/>
      <c r="Q640" s="136"/>
      <c r="R640" s="273">
        <f>G640*O640</f>
        <v>1</v>
      </c>
      <c r="S640" s="155"/>
    </row>
    <row r="641" spans="1:19" s="424" customFormat="1" ht="15.75" customHeight="1" x14ac:dyDescent="0.25">
      <c r="A641" s="448"/>
      <c r="B641" s="439"/>
      <c r="C641" s="442"/>
      <c r="D641" s="435"/>
      <c r="E641" s="435"/>
      <c r="F641" s="435"/>
      <c r="G641" s="418"/>
      <c r="H641" s="245">
        <v>1</v>
      </c>
      <c r="I641" s="331"/>
      <c r="J641" s="425"/>
      <c r="K641" s="425"/>
      <c r="L641" s="331"/>
      <c r="M641" s="425"/>
      <c r="N641" s="455"/>
      <c r="O641" s="166"/>
      <c r="P641" s="136"/>
      <c r="Q641" s="136"/>
      <c r="R641" s="274"/>
      <c r="S641" s="155"/>
    </row>
    <row r="642" spans="1:19" s="424" customFormat="1" ht="15.75" customHeight="1" x14ac:dyDescent="0.25">
      <c r="A642" s="434">
        <v>12</v>
      </c>
      <c r="B642" s="431" t="s">
        <v>169</v>
      </c>
      <c r="C642" s="417" t="s">
        <v>35</v>
      </c>
      <c r="D642" s="418" t="s">
        <v>24</v>
      </c>
      <c r="E642" s="418" t="s">
        <v>51</v>
      </c>
      <c r="F642" s="418" t="s">
        <v>320</v>
      </c>
      <c r="G642" s="418">
        <v>2</v>
      </c>
      <c r="H642" s="38"/>
      <c r="I642" s="418"/>
      <c r="J642" s="133" t="s">
        <v>450</v>
      </c>
      <c r="K642" s="417" t="s">
        <v>564</v>
      </c>
      <c r="L642" s="418" t="s">
        <v>17</v>
      </c>
      <c r="M642" s="421" t="s">
        <v>26</v>
      </c>
      <c r="N642" s="453"/>
      <c r="O642" s="265">
        <v>1</v>
      </c>
      <c r="P642" s="266"/>
      <c r="Q642" s="267"/>
      <c r="R642" s="273">
        <f>G642*O642</f>
        <v>2</v>
      </c>
      <c r="S642" s="155"/>
    </row>
    <row r="643" spans="1:19" s="61" customFormat="1" x14ac:dyDescent="0.25">
      <c r="A643" s="434"/>
      <c r="B643" s="433"/>
      <c r="C643" s="48"/>
      <c r="D643" s="47"/>
      <c r="E643" s="47"/>
      <c r="F643" s="47"/>
      <c r="G643" s="47"/>
      <c r="H643" s="156">
        <v>1</v>
      </c>
      <c r="I643" s="331"/>
      <c r="J643" s="363"/>
      <c r="K643" s="363"/>
      <c r="L643" s="331"/>
      <c r="M643" s="363"/>
      <c r="N643" s="455"/>
      <c r="O643" s="265"/>
      <c r="P643" s="266"/>
      <c r="Q643" s="267"/>
      <c r="R643" s="273"/>
      <c r="S643" s="155"/>
    </row>
    <row r="644" spans="1:19" s="61" customFormat="1" ht="15.75" customHeight="1" x14ac:dyDescent="0.25">
      <c r="A644" s="435"/>
      <c r="B644" s="431" t="s">
        <v>170</v>
      </c>
      <c r="C644" s="48" t="s">
        <v>35</v>
      </c>
      <c r="D644" s="47" t="s">
        <v>24</v>
      </c>
      <c r="E644" s="47" t="s">
        <v>51</v>
      </c>
      <c r="F644" s="47" t="s">
        <v>320</v>
      </c>
      <c r="G644" s="47">
        <v>2</v>
      </c>
      <c r="H644" s="38"/>
      <c r="I644" s="47"/>
      <c r="J644" s="251" t="s">
        <v>469</v>
      </c>
      <c r="K644" s="365" t="s">
        <v>28</v>
      </c>
      <c r="L644" s="73" t="s">
        <v>17</v>
      </c>
      <c r="M644" s="74" t="s">
        <v>26</v>
      </c>
      <c r="N644" s="470"/>
      <c r="O644" s="265">
        <v>1</v>
      </c>
      <c r="P644" s="266"/>
      <c r="Q644" s="267"/>
      <c r="R644" s="273">
        <f>G644*O644</f>
        <v>2</v>
      </c>
      <c r="S644" s="155"/>
    </row>
    <row r="645" spans="1:19" s="61" customFormat="1" x14ac:dyDescent="0.25">
      <c r="A645" s="435"/>
      <c r="B645" s="433"/>
      <c r="C645" s="48"/>
      <c r="D645" s="47"/>
      <c r="E645" s="47"/>
      <c r="F645" s="47"/>
      <c r="G645" s="47"/>
      <c r="H645" s="156">
        <v>1</v>
      </c>
      <c r="I645" s="331"/>
      <c r="J645" s="363"/>
      <c r="K645" s="363"/>
      <c r="L645" s="331"/>
      <c r="M645" s="363"/>
      <c r="N645" s="455"/>
      <c r="O645" s="265"/>
      <c r="P645" s="266"/>
      <c r="Q645" s="267"/>
      <c r="R645" s="273"/>
      <c r="S645" s="155"/>
    </row>
    <row r="646" spans="1:19" s="61" customFormat="1" ht="15.75" customHeight="1" x14ac:dyDescent="0.25">
      <c r="A646" s="434">
        <v>13</v>
      </c>
      <c r="B646" s="431" t="s">
        <v>171</v>
      </c>
      <c r="C646" s="48" t="s">
        <v>35</v>
      </c>
      <c r="D646" s="47" t="s">
        <v>24</v>
      </c>
      <c r="E646" s="47" t="s">
        <v>51</v>
      </c>
      <c r="F646" s="47" t="s">
        <v>320</v>
      </c>
      <c r="G646" s="47">
        <v>2</v>
      </c>
      <c r="H646" s="47"/>
      <c r="I646" s="47"/>
      <c r="J646" s="55" t="s">
        <v>466</v>
      </c>
      <c r="K646" s="48" t="s">
        <v>564</v>
      </c>
      <c r="L646" s="47" t="s">
        <v>17</v>
      </c>
      <c r="M646" s="48" t="s">
        <v>26</v>
      </c>
      <c r="N646" s="453"/>
      <c r="O646" s="265">
        <v>1</v>
      </c>
      <c r="P646" s="266"/>
      <c r="Q646" s="267"/>
      <c r="R646" s="273">
        <f>G646*O646</f>
        <v>2</v>
      </c>
      <c r="S646" s="155"/>
    </row>
    <row r="647" spans="1:19" s="61" customFormat="1" x14ac:dyDescent="0.25">
      <c r="A647" s="434"/>
      <c r="B647" s="433"/>
      <c r="C647" s="48"/>
      <c r="D647" s="47"/>
      <c r="E647" s="47"/>
      <c r="F647" s="47"/>
      <c r="G647" s="47"/>
      <c r="H647" s="331">
        <v>1</v>
      </c>
      <c r="I647" s="331"/>
      <c r="J647" s="363"/>
      <c r="K647" s="363"/>
      <c r="L647" s="331"/>
      <c r="M647" s="363"/>
      <c r="N647" s="455"/>
      <c r="O647" s="265"/>
      <c r="P647" s="266"/>
      <c r="Q647" s="267"/>
      <c r="R647" s="273"/>
      <c r="S647" s="155"/>
    </row>
    <row r="648" spans="1:19" s="61" customFormat="1" x14ac:dyDescent="0.25">
      <c r="A648" s="435"/>
      <c r="B648" s="431" t="s">
        <v>172</v>
      </c>
      <c r="C648" s="48" t="s">
        <v>35</v>
      </c>
      <c r="D648" s="47" t="s">
        <v>24</v>
      </c>
      <c r="E648" s="47" t="s">
        <v>51</v>
      </c>
      <c r="F648" s="47" t="s">
        <v>320</v>
      </c>
      <c r="G648" s="47">
        <v>2</v>
      </c>
      <c r="H648" s="47"/>
      <c r="I648" s="47"/>
      <c r="J648" s="55" t="s">
        <v>466</v>
      </c>
      <c r="K648" s="48" t="s">
        <v>564</v>
      </c>
      <c r="L648" s="47" t="s">
        <v>17</v>
      </c>
      <c r="M648" s="48" t="s">
        <v>26</v>
      </c>
      <c r="N648" s="470"/>
      <c r="O648" s="265">
        <v>0</v>
      </c>
      <c r="P648" s="266"/>
      <c r="Q648" s="267"/>
      <c r="R648" s="273">
        <f>G648*O648</f>
        <v>0</v>
      </c>
      <c r="S648" s="155"/>
    </row>
    <row r="649" spans="1:19" s="61" customFormat="1" x14ac:dyDescent="0.25">
      <c r="A649" s="435"/>
      <c r="B649" s="433"/>
      <c r="C649" s="48"/>
      <c r="D649" s="47"/>
      <c r="E649" s="47"/>
      <c r="F649" s="47"/>
      <c r="G649" s="47"/>
      <c r="H649" s="331">
        <v>1</v>
      </c>
      <c r="I649" s="331"/>
      <c r="J649" s="363"/>
      <c r="K649" s="363"/>
      <c r="L649" s="331"/>
      <c r="M649" s="363"/>
      <c r="N649" s="455"/>
      <c r="O649" s="357"/>
      <c r="P649" s="362"/>
      <c r="R649" s="270"/>
      <c r="S649" s="155"/>
    </row>
    <row r="650" spans="1:19" s="61" customFormat="1" ht="15.75" customHeight="1" x14ac:dyDescent="0.25">
      <c r="A650" s="446">
        <v>14</v>
      </c>
      <c r="B650" s="438" t="s">
        <v>173</v>
      </c>
      <c r="C650" s="441" t="s">
        <v>35</v>
      </c>
      <c r="D650" s="434" t="s">
        <v>24</v>
      </c>
      <c r="E650" s="434" t="s">
        <v>51</v>
      </c>
      <c r="F650" s="434" t="s">
        <v>320</v>
      </c>
      <c r="G650" s="361">
        <v>2</v>
      </c>
      <c r="H650" s="191"/>
      <c r="I650" s="47"/>
      <c r="J650" s="388" t="s">
        <v>563</v>
      </c>
      <c r="K650" s="425" t="s">
        <v>82</v>
      </c>
      <c r="L650" s="331" t="s">
        <v>17</v>
      </c>
      <c r="M650" s="363" t="s">
        <v>26</v>
      </c>
      <c r="N650" s="453"/>
      <c r="O650" s="265">
        <v>0</v>
      </c>
      <c r="P650" s="136"/>
      <c r="Q650" s="136"/>
      <c r="R650" s="273">
        <f>G650*O650</f>
        <v>0</v>
      </c>
      <c r="S650" s="155"/>
    </row>
    <row r="651" spans="1:19" s="61" customFormat="1" x14ac:dyDescent="0.25">
      <c r="A651" s="447"/>
      <c r="B651" s="439"/>
      <c r="C651" s="442"/>
      <c r="D651" s="435"/>
      <c r="E651" s="435"/>
      <c r="F651" s="435"/>
      <c r="G651" s="361"/>
      <c r="H651" s="191"/>
      <c r="I651" s="47"/>
      <c r="J651" s="150"/>
      <c r="K651" s="363"/>
      <c r="L651" s="331"/>
      <c r="M651" s="363"/>
      <c r="N651" s="454"/>
      <c r="O651" s="265">
        <v>0</v>
      </c>
      <c r="P651" s="136"/>
      <c r="Q651" s="136"/>
      <c r="R651" s="273">
        <f>G651*O651</f>
        <v>0</v>
      </c>
      <c r="S651" s="155"/>
    </row>
    <row r="652" spans="1:19" s="61" customFormat="1" ht="15.75" customHeight="1" x14ac:dyDescent="0.25">
      <c r="A652" s="447"/>
      <c r="B652" s="439"/>
      <c r="C652" s="442"/>
      <c r="D652" s="435"/>
      <c r="E652" s="435"/>
      <c r="F652" s="435"/>
      <c r="G652" s="47"/>
      <c r="H652" s="245">
        <v>1</v>
      </c>
      <c r="I652" s="331"/>
      <c r="J652" s="363"/>
      <c r="K652" s="363"/>
      <c r="L652" s="331"/>
      <c r="M652" s="363"/>
      <c r="N652" s="455"/>
      <c r="O652" s="166"/>
      <c r="P652" s="136"/>
      <c r="Q652" s="136"/>
      <c r="R652" s="274"/>
      <c r="S652" s="155"/>
    </row>
    <row r="653" spans="1:19" s="61" customFormat="1" x14ac:dyDescent="0.25">
      <c r="A653" s="447"/>
      <c r="B653" s="438" t="s">
        <v>174</v>
      </c>
      <c r="C653" s="441" t="s">
        <v>35</v>
      </c>
      <c r="D653" s="434" t="s">
        <v>24</v>
      </c>
      <c r="E653" s="434" t="s">
        <v>51</v>
      </c>
      <c r="F653" s="434" t="s">
        <v>320</v>
      </c>
      <c r="G653" s="361">
        <v>2</v>
      </c>
      <c r="H653" s="191"/>
      <c r="I653" s="47"/>
      <c r="J653" s="388" t="s">
        <v>563</v>
      </c>
      <c r="K653" s="425" t="s">
        <v>82</v>
      </c>
      <c r="L653" s="331" t="s">
        <v>17</v>
      </c>
      <c r="M653" s="363" t="s">
        <v>26</v>
      </c>
      <c r="N653" s="453"/>
      <c r="O653" s="265">
        <v>1</v>
      </c>
      <c r="P653" s="136"/>
      <c r="Q653" s="136"/>
      <c r="R653" s="273">
        <f>G653*O653</f>
        <v>2</v>
      </c>
      <c r="S653" s="155"/>
    </row>
    <row r="654" spans="1:19" s="61" customFormat="1" ht="15.75" customHeight="1" x14ac:dyDescent="0.25">
      <c r="A654" s="447"/>
      <c r="B654" s="439"/>
      <c r="C654" s="442"/>
      <c r="D654" s="435"/>
      <c r="E654" s="435"/>
      <c r="F654" s="435"/>
      <c r="G654" s="361"/>
      <c r="H654" s="191"/>
      <c r="I654" s="47"/>
      <c r="J654" s="150"/>
      <c r="K654" s="363"/>
      <c r="L654" s="331"/>
      <c r="M654" s="363"/>
      <c r="N654" s="454"/>
      <c r="O654" s="265">
        <v>0</v>
      </c>
      <c r="P654" s="136"/>
      <c r="Q654" s="136"/>
      <c r="R654" s="273">
        <f>G654*O654</f>
        <v>0</v>
      </c>
      <c r="S654" s="155"/>
    </row>
    <row r="655" spans="1:19" s="61" customFormat="1" ht="15.75" customHeight="1" x14ac:dyDescent="0.25">
      <c r="A655" s="447"/>
      <c r="B655" s="439"/>
      <c r="C655" s="442"/>
      <c r="D655" s="435"/>
      <c r="E655" s="435"/>
      <c r="F655" s="435"/>
      <c r="G655" s="47"/>
      <c r="H655" s="245">
        <v>1</v>
      </c>
      <c r="I655" s="331"/>
      <c r="J655" s="363"/>
      <c r="K655" s="363"/>
      <c r="L655" s="331"/>
      <c r="M655" s="363"/>
      <c r="N655" s="455"/>
      <c r="O655" s="166"/>
      <c r="P655" s="136"/>
      <c r="Q655" s="136"/>
      <c r="R655" s="274"/>
      <c r="S655" s="155"/>
    </row>
    <row r="656" spans="1:19" s="61" customFormat="1" x14ac:dyDescent="0.25">
      <c r="A656" s="434">
        <v>15</v>
      </c>
      <c r="B656" s="431" t="s">
        <v>175</v>
      </c>
      <c r="C656" s="48" t="s">
        <v>35</v>
      </c>
      <c r="D656" s="47" t="s">
        <v>36</v>
      </c>
      <c r="E656" s="47" t="s">
        <v>51</v>
      </c>
      <c r="F656" s="47" t="s">
        <v>320</v>
      </c>
      <c r="G656" s="47">
        <v>2</v>
      </c>
      <c r="H656" s="47"/>
      <c r="I656" s="47"/>
      <c r="J656" s="363" t="s">
        <v>472</v>
      </c>
      <c r="K656" s="363" t="s">
        <v>82</v>
      </c>
      <c r="L656" s="331" t="s">
        <v>17</v>
      </c>
      <c r="M656" s="363" t="s">
        <v>26</v>
      </c>
      <c r="N656" s="453"/>
      <c r="O656" s="265">
        <v>1</v>
      </c>
      <c r="P656" s="266"/>
      <c r="Q656" s="267"/>
      <c r="R656" s="273">
        <f>G656*O656</f>
        <v>2</v>
      </c>
      <c r="S656" s="155"/>
    </row>
    <row r="657" spans="1:19" s="61" customFormat="1" x14ac:dyDescent="0.25">
      <c r="A657" s="434"/>
      <c r="B657" s="432"/>
      <c r="C657" s="48"/>
      <c r="D657" s="47"/>
      <c r="E657" s="47"/>
      <c r="F657" s="47"/>
      <c r="G657" s="47"/>
      <c r="H657" s="47"/>
      <c r="I657" s="47"/>
      <c r="J657" s="363"/>
      <c r="K657" s="363"/>
      <c r="L657" s="331"/>
      <c r="M657" s="363"/>
      <c r="N657" s="471"/>
      <c r="O657" s="265"/>
      <c r="P657" s="266"/>
      <c r="Q657" s="267"/>
      <c r="R657" s="273"/>
      <c r="S657" s="155"/>
    </row>
    <row r="658" spans="1:19" s="61" customFormat="1" ht="15.75" customHeight="1" x14ac:dyDescent="0.25">
      <c r="A658" s="434"/>
      <c r="B658" s="433"/>
      <c r="C658" s="48"/>
      <c r="D658" s="47"/>
      <c r="E658" s="47"/>
      <c r="F658" s="47"/>
      <c r="G658" s="47"/>
      <c r="H658" s="331">
        <v>1</v>
      </c>
      <c r="I658" s="331"/>
      <c r="J658" s="363"/>
      <c r="K658" s="363"/>
      <c r="L658" s="331"/>
      <c r="M658" s="363"/>
      <c r="N658" s="455"/>
      <c r="O658" s="265"/>
      <c r="P658" s="266"/>
      <c r="Q658" s="267"/>
      <c r="R658" s="273"/>
      <c r="S658" s="155"/>
    </row>
    <row r="659" spans="1:19" s="61" customFormat="1" ht="15.75" customHeight="1" x14ac:dyDescent="0.25">
      <c r="A659" s="435"/>
      <c r="B659" s="431" t="s">
        <v>176</v>
      </c>
      <c r="C659" s="48" t="s">
        <v>35</v>
      </c>
      <c r="D659" s="47" t="s">
        <v>36</v>
      </c>
      <c r="E659" s="47" t="s">
        <v>51</v>
      </c>
      <c r="F659" s="47" t="s">
        <v>320</v>
      </c>
      <c r="G659" s="355">
        <v>2</v>
      </c>
      <c r="H659" s="47"/>
      <c r="I659" s="47"/>
      <c r="J659" s="363" t="s">
        <v>472</v>
      </c>
      <c r="K659" s="363" t="s">
        <v>82</v>
      </c>
      <c r="L659" s="331" t="s">
        <v>17</v>
      </c>
      <c r="M659" s="363" t="s">
        <v>26</v>
      </c>
      <c r="N659" s="470"/>
      <c r="O659" s="265">
        <v>0</v>
      </c>
      <c r="P659" s="266"/>
      <c r="Q659" s="267"/>
      <c r="R659" s="273">
        <f>G659*O659</f>
        <v>0</v>
      </c>
      <c r="S659" s="155"/>
    </row>
    <row r="660" spans="1:19" s="61" customFormat="1" x14ac:dyDescent="0.25">
      <c r="A660" s="435"/>
      <c r="B660" s="433"/>
      <c r="C660" s="48"/>
      <c r="D660" s="47"/>
      <c r="E660" s="47"/>
      <c r="F660" s="47"/>
      <c r="G660" s="47"/>
      <c r="H660" s="331">
        <v>1</v>
      </c>
      <c r="I660" s="331"/>
      <c r="J660" s="363"/>
      <c r="K660" s="363"/>
      <c r="L660" s="331"/>
      <c r="M660" s="363"/>
      <c r="N660" s="455"/>
      <c r="O660" s="265"/>
      <c r="P660" s="266"/>
      <c r="Q660" s="267"/>
      <c r="R660" s="273"/>
      <c r="S660" s="155"/>
    </row>
    <row r="661" spans="1:19" s="62" customFormat="1" ht="15.75" customHeight="1" x14ac:dyDescent="0.25">
      <c r="A661" s="434">
        <v>16</v>
      </c>
      <c r="B661" s="437" t="s">
        <v>177</v>
      </c>
      <c r="C661" s="363" t="s">
        <v>35</v>
      </c>
      <c r="D661" s="331" t="s">
        <v>36</v>
      </c>
      <c r="E661" s="331" t="s">
        <v>51</v>
      </c>
      <c r="F661" s="331" t="s">
        <v>320</v>
      </c>
      <c r="G661" s="331">
        <v>2</v>
      </c>
      <c r="H661" s="331"/>
      <c r="I661" s="331"/>
      <c r="J661" s="251" t="s">
        <v>568</v>
      </c>
      <c r="K661" s="251" t="s">
        <v>43</v>
      </c>
      <c r="L661" s="376" t="s">
        <v>17</v>
      </c>
      <c r="M661" s="48" t="s">
        <v>26</v>
      </c>
      <c r="N661" s="453"/>
      <c r="O661" s="378">
        <v>1</v>
      </c>
      <c r="P661" s="379"/>
      <c r="Q661" s="380"/>
      <c r="R661" s="273">
        <f>G661*O661</f>
        <v>2</v>
      </c>
      <c r="S661" s="155"/>
    </row>
    <row r="662" spans="1:19" s="61" customFormat="1" x14ac:dyDescent="0.25">
      <c r="A662" s="434"/>
      <c r="B662" s="433"/>
      <c r="C662" s="48"/>
      <c r="D662" s="47"/>
      <c r="E662" s="47"/>
      <c r="F662" s="47"/>
      <c r="G662" s="47"/>
      <c r="H662" s="331">
        <v>1</v>
      </c>
      <c r="I662" s="331"/>
      <c r="J662" s="363"/>
      <c r="K662" s="363"/>
      <c r="L662" s="331"/>
      <c r="M662" s="363"/>
      <c r="N662" s="455"/>
      <c r="O662" s="265"/>
      <c r="P662" s="266"/>
      <c r="Q662" s="267"/>
      <c r="R662" s="273"/>
      <c r="S662" s="155"/>
    </row>
    <row r="663" spans="1:19" s="61" customFormat="1" ht="15.75" customHeight="1" x14ac:dyDescent="0.25">
      <c r="A663" s="435"/>
      <c r="B663" s="437" t="s">
        <v>178</v>
      </c>
      <c r="C663" s="363" t="s">
        <v>35</v>
      </c>
      <c r="D663" s="331" t="s">
        <v>36</v>
      </c>
      <c r="E663" s="331" t="s">
        <v>51</v>
      </c>
      <c r="F663" s="331" t="s">
        <v>320</v>
      </c>
      <c r="G663" s="331">
        <v>2</v>
      </c>
      <c r="H663" s="331"/>
      <c r="I663" s="331"/>
      <c r="J663" s="133" t="s">
        <v>450</v>
      </c>
      <c r="K663" s="48" t="s">
        <v>564</v>
      </c>
      <c r="L663" s="47" t="s">
        <v>17</v>
      </c>
      <c r="M663" s="359" t="s">
        <v>26</v>
      </c>
      <c r="N663" s="191"/>
      <c r="O663" s="265">
        <v>1</v>
      </c>
      <c r="P663" s="266"/>
      <c r="Q663" s="267"/>
      <c r="R663" s="273">
        <f>G663*O663</f>
        <v>2</v>
      </c>
      <c r="S663" s="155"/>
    </row>
    <row r="664" spans="1:19" s="61" customFormat="1" x14ac:dyDescent="0.25">
      <c r="A664" s="435"/>
      <c r="B664" s="433"/>
      <c r="C664" s="48"/>
      <c r="D664" s="47"/>
      <c r="E664" s="47"/>
      <c r="F664" s="47"/>
      <c r="G664" s="47"/>
      <c r="H664" s="331">
        <v>1</v>
      </c>
      <c r="I664" s="331"/>
      <c r="J664" s="363"/>
      <c r="K664" s="363"/>
      <c r="L664" s="331"/>
      <c r="M664" s="363"/>
      <c r="N664" s="191"/>
      <c r="O664" s="357"/>
      <c r="P664" s="362"/>
      <c r="R664" s="270"/>
      <c r="S664" s="155"/>
    </row>
    <row r="665" spans="1:19" s="61" customFormat="1" ht="15.75" customHeight="1" x14ac:dyDescent="0.25">
      <c r="A665" s="155"/>
      <c r="B665" s="276"/>
      <c r="C665" s="276"/>
      <c r="D665" s="155"/>
      <c r="E665" s="155"/>
      <c r="F665" s="155"/>
      <c r="G665" s="277" t="e">
        <f>SUM(G296:G663)</f>
        <v>#REF!</v>
      </c>
      <c r="H665" s="277" t="e">
        <f>SUM(H296:H663)</f>
        <v>#REF!</v>
      </c>
      <c r="I665" s="155"/>
      <c r="J665" s="155"/>
      <c r="K665" s="276"/>
      <c r="L665" s="278"/>
      <c r="M665" s="155"/>
      <c r="N665" s="155"/>
      <c r="O665" s="281"/>
      <c r="P665" s="155"/>
      <c r="Q665" s="155"/>
      <c r="R665" s="270"/>
      <c r="S665" s="155"/>
    </row>
    <row r="666" spans="1:19" x14ac:dyDescent="0.25">
      <c r="B666" s="143"/>
      <c r="C666" s="29"/>
      <c r="D666" s="20"/>
      <c r="E666" s="20"/>
      <c r="F666" s="20"/>
      <c r="G666" s="144"/>
      <c r="H666" s="144"/>
      <c r="J666" s="144"/>
      <c r="K666" s="143"/>
      <c r="L666" s="20"/>
      <c r="M666" s="146"/>
      <c r="R666" s="309"/>
    </row>
    <row r="667" spans="1:19" ht="26.25" customHeight="1" x14ac:dyDescent="0.25">
      <c r="A667" s="2"/>
      <c r="B667" s="324" t="s">
        <v>327</v>
      </c>
      <c r="C667" s="325"/>
      <c r="D667" s="326"/>
      <c r="E667" s="326"/>
      <c r="F667" s="326"/>
      <c r="G667" s="327"/>
      <c r="H667" s="326"/>
      <c r="I667" s="326"/>
      <c r="J667" s="328"/>
      <c r="K667" s="328"/>
      <c r="L667" s="2"/>
      <c r="M667" s="5"/>
      <c r="N667" s="58"/>
      <c r="O667" s="1"/>
      <c r="P667" s="1"/>
      <c r="R667" s="1"/>
    </row>
    <row r="668" spans="1:19" ht="16.5" customHeight="1" x14ac:dyDescent="0.25">
      <c r="A668" s="2"/>
      <c r="B668" s="51"/>
      <c r="C668" s="52"/>
      <c r="D668" s="2"/>
      <c r="E668" s="2"/>
      <c r="F668" s="2"/>
      <c r="G668" s="50"/>
      <c r="H668" s="2"/>
      <c r="I668" s="2"/>
      <c r="J668" s="5"/>
      <c r="K668" s="5"/>
      <c r="L668" s="2"/>
      <c r="M668" s="5"/>
      <c r="N668" s="58"/>
      <c r="O668" s="1"/>
      <c r="P668" s="1"/>
      <c r="R668" s="1"/>
    </row>
    <row r="669" spans="1:19" s="61" customFormat="1" ht="15.75" customHeight="1" x14ac:dyDescent="0.25">
      <c r="A669"/>
      <c r="B669" s="315" t="s">
        <v>49</v>
      </c>
      <c r="C669" s="29"/>
      <c r="D669"/>
      <c r="E669"/>
      <c r="F669"/>
      <c r="G669"/>
      <c r="H669"/>
      <c r="I669"/>
      <c r="J669"/>
      <c r="K669" s="31"/>
      <c r="L669" s="32"/>
      <c r="M669" s="32"/>
      <c r="N669"/>
      <c r="O669"/>
      <c r="P669"/>
      <c r="Q669"/>
      <c r="R669" s="66"/>
      <c r="S669"/>
    </row>
    <row r="670" spans="1:19" ht="12.75" customHeight="1" x14ac:dyDescent="0.25">
      <c r="A670" s="2"/>
      <c r="B670" s="158"/>
      <c r="C670" s="29"/>
      <c r="D670" s="20"/>
      <c r="E670" s="20"/>
      <c r="F670" s="20"/>
      <c r="G670" s="159"/>
      <c r="H670" s="159"/>
      <c r="J670" s="144"/>
      <c r="K670" s="128"/>
      <c r="L670" s="145"/>
      <c r="M670" s="160"/>
      <c r="R670" s="66"/>
    </row>
    <row r="671" spans="1:19" ht="26.25" customHeight="1" thickBot="1" x14ac:dyDescent="0.3">
      <c r="A671" s="9" t="s">
        <v>1</v>
      </c>
      <c r="B671" s="440" t="s">
        <v>2</v>
      </c>
      <c r="C671" s="372" t="s">
        <v>3</v>
      </c>
      <c r="D671" s="375" t="s">
        <v>4</v>
      </c>
      <c r="E671" s="10" t="s">
        <v>5</v>
      </c>
      <c r="F671" s="10" t="s">
        <v>6</v>
      </c>
      <c r="G671" s="11"/>
      <c r="H671" s="12" t="s">
        <v>7</v>
      </c>
      <c r="I671" s="13"/>
      <c r="J671" s="498" t="s">
        <v>8</v>
      </c>
      <c r="K671" s="14" t="s">
        <v>9</v>
      </c>
      <c r="L671" s="10" t="s">
        <v>10</v>
      </c>
      <c r="M671" s="369" t="s">
        <v>11</v>
      </c>
      <c r="N671" s="59" t="s">
        <v>12</v>
      </c>
      <c r="O671" s="63"/>
      <c r="P671" s="63" t="s">
        <v>13</v>
      </c>
      <c r="Q671" s="63"/>
      <c r="R671" s="488" t="s">
        <v>201</v>
      </c>
      <c r="S671" s="489"/>
    </row>
    <row r="672" spans="1:19" ht="26.25" customHeight="1" x14ac:dyDescent="0.25">
      <c r="A672" s="181" t="s">
        <v>14</v>
      </c>
      <c r="B672" s="440"/>
      <c r="C672" s="182"/>
      <c r="D672" s="183"/>
      <c r="E672" s="181" t="s">
        <v>15</v>
      </c>
      <c r="F672" s="181" t="s">
        <v>16</v>
      </c>
      <c r="G672" s="190" t="s">
        <v>17</v>
      </c>
      <c r="H672" s="190" t="s">
        <v>18</v>
      </c>
      <c r="I672" s="190" t="s">
        <v>19</v>
      </c>
      <c r="J672" s="499"/>
      <c r="K672" s="184"/>
      <c r="L672" s="185"/>
      <c r="M672" s="374" t="s">
        <v>20</v>
      </c>
      <c r="N672" s="186" t="s">
        <v>21</v>
      </c>
      <c r="O672" s="181" t="s">
        <v>17</v>
      </c>
      <c r="P672" s="181" t="s">
        <v>18</v>
      </c>
      <c r="Q672" s="181" t="s">
        <v>19</v>
      </c>
      <c r="R672" s="181" t="s">
        <v>17</v>
      </c>
      <c r="S672" s="181" t="s">
        <v>18</v>
      </c>
    </row>
    <row r="673" spans="1:19" s="404" customFormat="1" ht="14.45" customHeight="1" x14ac:dyDescent="0.25">
      <c r="A673" s="452">
        <v>1</v>
      </c>
      <c r="B673" s="437" t="s">
        <v>579</v>
      </c>
      <c r="C673" s="441" t="s">
        <v>35</v>
      </c>
      <c r="D673" s="434" t="s">
        <v>24</v>
      </c>
      <c r="E673" s="434" t="s">
        <v>51</v>
      </c>
      <c r="F673" s="434" t="s">
        <v>319</v>
      </c>
      <c r="G673" s="332">
        <v>2</v>
      </c>
      <c r="H673" s="406"/>
      <c r="I673" s="406"/>
      <c r="J673" s="402" t="s">
        <v>457</v>
      </c>
      <c r="K673" s="402" t="s">
        <v>43</v>
      </c>
      <c r="L673" s="391" t="s">
        <v>17</v>
      </c>
      <c r="M673" s="397" t="s">
        <v>26</v>
      </c>
      <c r="N673" s="453"/>
      <c r="O673" s="166">
        <v>1</v>
      </c>
      <c r="P673" s="136"/>
      <c r="Q673" s="136"/>
      <c r="R673" s="273">
        <f>G673*O673</f>
        <v>2</v>
      </c>
      <c r="S673" s="155"/>
    </row>
    <row r="674" spans="1:19" s="404" customFormat="1" x14ac:dyDescent="0.25">
      <c r="A674" s="447"/>
      <c r="B674" s="466"/>
      <c r="C674" s="442"/>
      <c r="D674" s="435"/>
      <c r="E674" s="435"/>
      <c r="F674" s="435"/>
      <c r="G674" s="408"/>
      <c r="H674" s="407"/>
      <c r="I674" s="406"/>
      <c r="J674" s="397"/>
      <c r="K674" s="397"/>
      <c r="L674" s="391"/>
      <c r="M674" s="397"/>
      <c r="N674" s="454"/>
      <c r="O674" s="166">
        <v>1</v>
      </c>
      <c r="P674" s="136"/>
      <c r="Q674" s="136"/>
      <c r="R674" s="273">
        <f>G674*O674</f>
        <v>0</v>
      </c>
      <c r="S674" s="155"/>
    </row>
    <row r="675" spans="1:19" s="404" customFormat="1" x14ac:dyDescent="0.25">
      <c r="A675" s="448"/>
      <c r="B675" s="465"/>
      <c r="C675" s="442"/>
      <c r="D675" s="435"/>
      <c r="E675" s="435"/>
      <c r="F675" s="435"/>
      <c r="G675" s="406"/>
      <c r="H675" s="293">
        <v>1</v>
      </c>
      <c r="I675" s="334"/>
      <c r="J675" s="402"/>
      <c r="K675" s="402"/>
      <c r="L675" s="331"/>
      <c r="M675" s="402"/>
      <c r="N675" s="455"/>
      <c r="O675" s="166"/>
      <c r="P675" s="136"/>
      <c r="Q675" s="136"/>
      <c r="R675" s="274"/>
      <c r="S675" s="155"/>
    </row>
    <row r="676" spans="1:19" s="61" customFormat="1" x14ac:dyDescent="0.25">
      <c r="A676" s="452">
        <v>2</v>
      </c>
      <c r="B676" s="438" t="s">
        <v>344</v>
      </c>
      <c r="C676" s="441" t="s">
        <v>35</v>
      </c>
      <c r="D676" s="434" t="s">
        <v>24</v>
      </c>
      <c r="E676" s="434" t="s">
        <v>51</v>
      </c>
      <c r="F676" s="434" t="s">
        <v>320</v>
      </c>
      <c r="G676" s="332">
        <v>1</v>
      </c>
      <c r="H676" s="288"/>
      <c r="I676" s="288"/>
      <c r="J676" s="363" t="s">
        <v>481</v>
      </c>
      <c r="K676" s="363" t="s">
        <v>28</v>
      </c>
      <c r="L676" s="331" t="s">
        <v>37</v>
      </c>
      <c r="M676" s="363" t="s">
        <v>514</v>
      </c>
      <c r="N676" s="453"/>
      <c r="O676" s="166">
        <v>1</v>
      </c>
      <c r="P676" s="136"/>
      <c r="Q676" s="136"/>
      <c r="R676" s="273">
        <f>G676*O676</f>
        <v>1</v>
      </c>
      <c r="S676" s="155"/>
    </row>
    <row r="677" spans="1:19" s="61" customFormat="1" x14ac:dyDescent="0.25">
      <c r="A677" s="447"/>
      <c r="B677" s="439"/>
      <c r="C677" s="442"/>
      <c r="D677" s="435"/>
      <c r="E677" s="435"/>
      <c r="F677" s="435"/>
      <c r="G677" s="373">
        <v>1</v>
      </c>
      <c r="H677" s="292"/>
      <c r="I677" s="288"/>
      <c r="J677" s="48" t="s">
        <v>458</v>
      </c>
      <c r="K677" s="48" t="s">
        <v>82</v>
      </c>
      <c r="L677" s="47" t="s">
        <v>17</v>
      </c>
      <c r="M677" s="48" t="s">
        <v>26</v>
      </c>
      <c r="N677" s="454"/>
      <c r="O677" s="166">
        <v>1</v>
      </c>
      <c r="P677" s="136"/>
      <c r="Q677" s="136"/>
      <c r="R677" s="273">
        <f>G677*O677</f>
        <v>1</v>
      </c>
      <c r="S677" s="155"/>
    </row>
    <row r="678" spans="1:19" s="61" customFormat="1" x14ac:dyDescent="0.25">
      <c r="A678" s="447"/>
      <c r="B678" s="439"/>
      <c r="C678" s="442"/>
      <c r="D678" s="435"/>
      <c r="E678" s="435"/>
      <c r="F678" s="435"/>
      <c r="G678" s="288"/>
      <c r="H678" s="293">
        <v>1</v>
      </c>
      <c r="I678" s="334"/>
      <c r="J678" s="363"/>
      <c r="K678" s="363"/>
      <c r="L678" s="331"/>
      <c r="M678" s="363"/>
      <c r="N678" s="455"/>
      <c r="O678" s="166"/>
      <c r="P678" s="136"/>
      <c r="Q678" s="136"/>
      <c r="R678" s="274"/>
      <c r="S678" s="155"/>
    </row>
    <row r="679" spans="1:19" s="404" customFormat="1" ht="14.45" customHeight="1" x14ac:dyDescent="0.25">
      <c r="A679" s="447"/>
      <c r="B679" s="437" t="s">
        <v>345</v>
      </c>
      <c r="C679" s="441" t="s">
        <v>35</v>
      </c>
      <c r="D679" s="434" t="s">
        <v>24</v>
      </c>
      <c r="E679" s="434" t="s">
        <v>51</v>
      </c>
      <c r="F679" s="434" t="s">
        <v>320</v>
      </c>
      <c r="G679" s="332">
        <v>2</v>
      </c>
      <c r="H679" s="406"/>
      <c r="I679" s="406"/>
      <c r="J679" s="55" t="s">
        <v>451</v>
      </c>
      <c r="K679" s="298" t="s">
        <v>28</v>
      </c>
      <c r="L679" s="73" t="s">
        <v>17</v>
      </c>
      <c r="M679" s="55" t="s">
        <v>26</v>
      </c>
      <c r="N679" s="453"/>
      <c r="O679" s="166">
        <v>1</v>
      </c>
      <c r="P679" s="136"/>
      <c r="Q679" s="136"/>
      <c r="R679" s="273">
        <f>G679*O679</f>
        <v>2</v>
      </c>
      <c r="S679" s="155"/>
    </row>
    <row r="680" spans="1:19" s="404" customFormat="1" x14ac:dyDescent="0.25">
      <c r="A680" s="447"/>
      <c r="B680" s="466"/>
      <c r="C680" s="442"/>
      <c r="D680" s="435"/>
      <c r="E680" s="435"/>
      <c r="F680" s="435"/>
      <c r="G680" s="408"/>
      <c r="H680" s="407"/>
      <c r="I680" s="406"/>
      <c r="J680" s="397"/>
      <c r="K680" s="397"/>
      <c r="L680" s="391"/>
      <c r="M680" s="397"/>
      <c r="N680" s="454"/>
      <c r="O680" s="166">
        <v>1</v>
      </c>
      <c r="P680" s="136"/>
      <c r="Q680" s="136"/>
      <c r="R680" s="273">
        <f>G680*O680</f>
        <v>0</v>
      </c>
      <c r="S680" s="155"/>
    </row>
    <row r="681" spans="1:19" s="404" customFormat="1" x14ac:dyDescent="0.25">
      <c r="A681" s="447"/>
      <c r="B681" s="465"/>
      <c r="C681" s="442"/>
      <c r="D681" s="435"/>
      <c r="E681" s="435"/>
      <c r="F681" s="435"/>
      <c r="G681" s="406"/>
      <c r="H681" s="293">
        <v>1</v>
      </c>
      <c r="I681" s="334"/>
      <c r="J681" s="402"/>
      <c r="K681" s="402"/>
      <c r="L681" s="331"/>
      <c r="M681" s="402"/>
      <c r="N681" s="455"/>
      <c r="O681" s="166"/>
      <c r="P681" s="136"/>
      <c r="Q681" s="136"/>
      <c r="R681" s="274"/>
      <c r="S681" s="155"/>
    </row>
    <row r="682" spans="1:19" s="61" customFormat="1" ht="15" customHeight="1" x14ac:dyDescent="0.25">
      <c r="A682" s="447"/>
      <c r="B682" s="438" t="s">
        <v>346</v>
      </c>
      <c r="C682" s="441" t="s">
        <v>35</v>
      </c>
      <c r="D682" s="434" t="s">
        <v>24</v>
      </c>
      <c r="E682" s="434" t="s">
        <v>51</v>
      </c>
      <c r="F682" s="434" t="s">
        <v>320</v>
      </c>
      <c r="G682" s="332">
        <v>1</v>
      </c>
      <c r="H682" s="288"/>
      <c r="I682" s="288"/>
      <c r="J682" s="363" t="s">
        <v>459</v>
      </c>
      <c r="K682" s="48" t="s">
        <v>82</v>
      </c>
      <c r="L682" s="331" t="s">
        <v>17</v>
      </c>
      <c r="M682" s="363" t="s">
        <v>26</v>
      </c>
      <c r="N682" s="453"/>
      <c r="O682" s="166">
        <v>1</v>
      </c>
      <c r="P682" s="136"/>
      <c r="Q682" s="136"/>
      <c r="R682" s="273">
        <f>G682*O682</f>
        <v>1</v>
      </c>
      <c r="S682" s="155"/>
    </row>
    <row r="683" spans="1:19" s="61" customFormat="1" x14ac:dyDescent="0.25">
      <c r="A683" s="447"/>
      <c r="B683" s="439"/>
      <c r="C683" s="442"/>
      <c r="D683" s="435"/>
      <c r="E683" s="435"/>
      <c r="F683" s="435"/>
      <c r="G683" s="373">
        <v>1</v>
      </c>
      <c r="H683" s="292"/>
      <c r="I683" s="288"/>
      <c r="J683" s="150" t="s">
        <v>410</v>
      </c>
      <c r="K683" s="425" t="s">
        <v>43</v>
      </c>
      <c r="L683" s="418" t="s">
        <v>17</v>
      </c>
      <c r="M683" s="417" t="s">
        <v>26</v>
      </c>
      <c r="N683" s="454"/>
      <c r="O683" s="166">
        <v>1</v>
      </c>
      <c r="P683" s="136"/>
      <c r="Q683" s="136"/>
      <c r="R683" s="273">
        <f>G683*O683</f>
        <v>1</v>
      </c>
      <c r="S683" s="155"/>
    </row>
    <row r="684" spans="1:19" s="61" customFormat="1" x14ac:dyDescent="0.25">
      <c r="A684" s="448"/>
      <c r="B684" s="439"/>
      <c r="C684" s="442"/>
      <c r="D684" s="435"/>
      <c r="E684" s="435"/>
      <c r="F684" s="435"/>
      <c r="G684" s="288"/>
      <c r="H684" s="293">
        <v>1</v>
      </c>
      <c r="I684" s="334"/>
      <c r="J684" s="363"/>
      <c r="K684" s="363"/>
      <c r="L684" s="331"/>
      <c r="M684" s="363"/>
      <c r="N684" s="455"/>
      <c r="O684" s="166"/>
      <c r="P684" s="136"/>
      <c r="Q684" s="136"/>
      <c r="R684" s="274"/>
      <c r="S684" s="155"/>
    </row>
    <row r="685" spans="1:19" s="61" customFormat="1" x14ac:dyDescent="0.25">
      <c r="A685" s="446">
        <v>3</v>
      </c>
      <c r="B685" s="431" t="s">
        <v>347</v>
      </c>
      <c r="C685" s="438" t="s">
        <v>23</v>
      </c>
      <c r="D685" s="457" t="s">
        <v>24</v>
      </c>
      <c r="E685" s="457" t="s">
        <v>51</v>
      </c>
      <c r="F685" s="457" t="s">
        <v>320</v>
      </c>
      <c r="G685" s="355">
        <v>2</v>
      </c>
      <c r="H685" s="391"/>
      <c r="I685" s="391"/>
      <c r="J685" s="251" t="s">
        <v>407</v>
      </c>
      <c r="K685" s="48" t="s">
        <v>43</v>
      </c>
      <c r="L685" s="331" t="s">
        <v>17</v>
      </c>
      <c r="M685" s="363" t="s">
        <v>26</v>
      </c>
      <c r="N685" s="467"/>
      <c r="O685" s="265">
        <v>1</v>
      </c>
      <c r="P685" s="267"/>
      <c r="Q685" s="267"/>
      <c r="R685" s="273">
        <f>G685*O685</f>
        <v>2</v>
      </c>
      <c r="S685" s="155"/>
    </row>
    <row r="686" spans="1:19" s="61" customFormat="1" ht="15.75" customHeight="1" x14ac:dyDescent="0.25">
      <c r="A686" s="447"/>
      <c r="B686" s="432"/>
      <c r="C686" s="439"/>
      <c r="D686" s="458"/>
      <c r="E686" s="458"/>
      <c r="F686" s="458"/>
      <c r="G686" s="356"/>
      <c r="H686" s="392"/>
      <c r="I686" s="392"/>
      <c r="J686" s="363"/>
      <c r="K686" s="48"/>
      <c r="L686" s="331"/>
      <c r="M686" s="363"/>
      <c r="N686" s="468"/>
      <c r="O686" s="265">
        <v>0</v>
      </c>
      <c r="P686" s="267"/>
      <c r="Q686" s="267"/>
      <c r="R686" s="273">
        <f>G686*O686</f>
        <v>0</v>
      </c>
      <c r="S686" s="155"/>
    </row>
    <row r="687" spans="1:19" s="61" customFormat="1" ht="15.75" customHeight="1" x14ac:dyDescent="0.25">
      <c r="A687" s="447"/>
      <c r="B687" s="433"/>
      <c r="C687" s="192"/>
      <c r="D687" s="191"/>
      <c r="E687" s="191"/>
      <c r="F687" s="191"/>
      <c r="G687" s="47"/>
      <c r="H687" s="245">
        <v>1</v>
      </c>
      <c r="I687" s="331"/>
      <c r="J687" s="363"/>
      <c r="K687" s="363"/>
      <c r="L687" s="331"/>
      <c r="M687" s="363"/>
      <c r="N687" s="469"/>
      <c r="O687" s="265"/>
      <c r="P687" s="267"/>
      <c r="Q687" s="267"/>
      <c r="R687" s="273"/>
      <c r="S687" s="155"/>
    </row>
    <row r="688" spans="1:19" s="61" customFormat="1" ht="15" customHeight="1" x14ac:dyDescent="0.25">
      <c r="A688" s="447"/>
      <c r="B688" s="438" t="s">
        <v>348</v>
      </c>
      <c r="C688" s="441" t="s">
        <v>35</v>
      </c>
      <c r="D688" s="434" t="s">
        <v>24</v>
      </c>
      <c r="E688" s="434" t="s">
        <v>51</v>
      </c>
      <c r="F688" s="434" t="s">
        <v>320</v>
      </c>
      <c r="G688" s="332">
        <v>1</v>
      </c>
      <c r="H688" s="288"/>
      <c r="I688" s="288"/>
      <c r="J688" s="48" t="s">
        <v>455</v>
      </c>
      <c r="K688" s="48" t="s">
        <v>28</v>
      </c>
      <c r="L688" s="47" t="s">
        <v>17</v>
      </c>
      <c r="M688" s="48" t="s">
        <v>26</v>
      </c>
      <c r="N688" s="453"/>
      <c r="O688" s="166">
        <v>1</v>
      </c>
      <c r="P688" s="136"/>
      <c r="Q688" s="136"/>
      <c r="R688" s="273">
        <f>G688*O688</f>
        <v>1</v>
      </c>
      <c r="S688" s="155"/>
    </row>
    <row r="689" spans="1:19" s="61" customFormat="1" x14ac:dyDescent="0.25">
      <c r="A689" s="447"/>
      <c r="B689" s="439"/>
      <c r="C689" s="442"/>
      <c r="D689" s="435"/>
      <c r="E689" s="435"/>
      <c r="F689" s="435"/>
      <c r="G689" s="373">
        <v>1</v>
      </c>
      <c r="H689" s="292"/>
      <c r="I689" s="288"/>
      <c r="J689" s="251" t="s">
        <v>466</v>
      </c>
      <c r="K689" s="48" t="s">
        <v>564</v>
      </c>
      <c r="L689" s="331" t="s">
        <v>17</v>
      </c>
      <c r="M689" s="363" t="s">
        <v>26</v>
      </c>
      <c r="N689" s="454"/>
      <c r="O689" s="166">
        <v>1</v>
      </c>
      <c r="P689" s="136"/>
      <c r="Q689" s="136"/>
      <c r="R689" s="273">
        <f>G689*O689</f>
        <v>1</v>
      </c>
      <c r="S689" s="155"/>
    </row>
    <row r="690" spans="1:19" s="61" customFormat="1" x14ac:dyDescent="0.25">
      <c r="A690" s="447"/>
      <c r="B690" s="439"/>
      <c r="C690" s="442"/>
      <c r="D690" s="435"/>
      <c r="E690" s="435"/>
      <c r="F690" s="435"/>
      <c r="G690" s="288"/>
      <c r="H690" s="293">
        <v>1</v>
      </c>
      <c r="I690" s="334"/>
      <c r="J690" s="363"/>
      <c r="K690" s="363"/>
      <c r="L690" s="331"/>
      <c r="M690" s="363"/>
      <c r="N690" s="455"/>
      <c r="O690" s="166"/>
      <c r="P690" s="136"/>
      <c r="Q690" s="136"/>
      <c r="R690" s="274"/>
      <c r="S690" s="155"/>
    </row>
    <row r="691" spans="1:19" s="61" customFormat="1" x14ac:dyDescent="0.25">
      <c r="A691" s="447"/>
      <c r="B691" s="431" t="s">
        <v>349</v>
      </c>
      <c r="C691" s="441" t="s">
        <v>35</v>
      </c>
      <c r="D691" s="434" t="s">
        <v>24</v>
      </c>
      <c r="E691" s="434" t="s">
        <v>51</v>
      </c>
      <c r="F691" s="434" t="s">
        <v>320</v>
      </c>
      <c r="G691" s="373">
        <v>2</v>
      </c>
      <c r="H691" s="292"/>
      <c r="I691" s="288"/>
      <c r="J691" s="388" t="s">
        <v>563</v>
      </c>
      <c r="K691" s="425" t="s">
        <v>82</v>
      </c>
      <c r="L691" s="331" t="s">
        <v>17</v>
      </c>
      <c r="M691" s="363" t="s">
        <v>26</v>
      </c>
      <c r="N691" s="453"/>
      <c r="O691" s="166">
        <v>1</v>
      </c>
      <c r="P691" s="136"/>
      <c r="Q691" s="136"/>
      <c r="R691" s="273">
        <f>G691*O691</f>
        <v>2</v>
      </c>
      <c r="S691" s="155"/>
    </row>
    <row r="692" spans="1:19" s="61" customFormat="1" ht="15.75" customHeight="1" x14ac:dyDescent="0.25">
      <c r="A692" s="447"/>
      <c r="B692" s="436"/>
      <c r="C692" s="442"/>
      <c r="D692" s="435"/>
      <c r="E692" s="435"/>
      <c r="F692" s="435"/>
      <c r="G692" s="373"/>
      <c r="H692" s="292"/>
      <c r="I692" s="288"/>
      <c r="J692" s="150"/>
      <c r="K692" s="363"/>
      <c r="L692" s="331"/>
      <c r="M692" s="363"/>
      <c r="N692" s="454"/>
      <c r="O692" s="166">
        <v>0</v>
      </c>
      <c r="P692" s="136"/>
      <c r="Q692" s="136"/>
      <c r="R692" s="273">
        <f>G692*O692</f>
        <v>0</v>
      </c>
      <c r="S692" s="155"/>
    </row>
    <row r="693" spans="1:19" s="61" customFormat="1" ht="15.75" customHeight="1" x14ac:dyDescent="0.25">
      <c r="A693" s="448"/>
      <c r="B693" s="459"/>
      <c r="C693" s="442"/>
      <c r="D693" s="435"/>
      <c r="E693" s="435"/>
      <c r="F693" s="435"/>
      <c r="G693" s="288"/>
      <c r="H693" s="293">
        <v>1</v>
      </c>
      <c r="I693" s="334"/>
      <c r="J693" s="363"/>
      <c r="K693" s="363"/>
      <c r="L693" s="331"/>
      <c r="M693" s="363"/>
      <c r="N693" s="455"/>
      <c r="O693" s="166"/>
      <c r="P693" s="136"/>
      <c r="Q693" s="136"/>
      <c r="R693" s="274"/>
      <c r="S693" s="155"/>
    </row>
    <row r="694" spans="1:19" s="61" customFormat="1" x14ac:dyDescent="0.25">
      <c r="A694" s="452">
        <v>4</v>
      </c>
      <c r="B694" s="431" t="s">
        <v>350</v>
      </c>
      <c r="C694" s="441" t="s">
        <v>35</v>
      </c>
      <c r="D694" s="434" t="s">
        <v>24</v>
      </c>
      <c r="E694" s="434" t="s">
        <v>51</v>
      </c>
      <c r="F694" s="434" t="s">
        <v>320</v>
      </c>
      <c r="G694" s="332">
        <v>1</v>
      </c>
      <c r="H694" s="288"/>
      <c r="I694" s="288"/>
      <c r="J694" s="251" t="s">
        <v>409</v>
      </c>
      <c r="K694" s="48" t="s">
        <v>43</v>
      </c>
      <c r="L694" s="331" t="s">
        <v>17</v>
      </c>
      <c r="M694" s="363" t="s">
        <v>26</v>
      </c>
      <c r="N694" s="453"/>
      <c r="O694" s="166">
        <v>1</v>
      </c>
      <c r="P694" s="136"/>
      <c r="Q694" s="136"/>
      <c r="R694" s="273">
        <f>G694*O694</f>
        <v>1</v>
      </c>
      <c r="S694" s="155"/>
    </row>
    <row r="695" spans="1:19" s="61" customFormat="1" ht="15.75" customHeight="1" x14ac:dyDescent="0.25">
      <c r="A695" s="447"/>
      <c r="B695" s="436"/>
      <c r="C695" s="442"/>
      <c r="D695" s="435"/>
      <c r="E695" s="435"/>
      <c r="F695" s="435"/>
      <c r="G695" s="373">
        <v>1</v>
      </c>
      <c r="H695" s="292"/>
      <c r="I695" s="288"/>
      <c r="J695" s="251" t="s">
        <v>485</v>
      </c>
      <c r="K695" s="48" t="s">
        <v>82</v>
      </c>
      <c r="L695" s="331" t="s">
        <v>17</v>
      </c>
      <c r="M695" s="363" t="s">
        <v>26</v>
      </c>
      <c r="N695" s="454"/>
      <c r="O695" s="166">
        <v>1</v>
      </c>
      <c r="P695" s="136"/>
      <c r="Q695" s="136"/>
      <c r="R695" s="273">
        <f>G695*O695</f>
        <v>1</v>
      </c>
      <c r="S695" s="155"/>
    </row>
    <row r="696" spans="1:19" s="61" customFormat="1" ht="15.75" customHeight="1" x14ac:dyDescent="0.25">
      <c r="A696" s="447"/>
      <c r="B696" s="459"/>
      <c r="C696" s="442"/>
      <c r="D696" s="435"/>
      <c r="E696" s="435"/>
      <c r="F696" s="435"/>
      <c r="G696" s="288"/>
      <c r="H696" s="293">
        <v>1</v>
      </c>
      <c r="I696" s="334"/>
      <c r="J696" s="363"/>
      <c r="K696" s="363"/>
      <c r="L696" s="331"/>
      <c r="M696" s="363"/>
      <c r="N696" s="455"/>
      <c r="O696" s="166"/>
      <c r="P696" s="136"/>
      <c r="Q696" s="136"/>
      <c r="R696" s="274"/>
      <c r="S696" s="155"/>
    </row>
    <row r="697" spans="1:19" s="61" customFormat="1" ht="15" customHeight="1" x14ac:dyDescent="0.25">
      <c r="A697" s="447"/>
      <c r="B697" s="431" t="s">
        <v>351</v>
      </c>
      <c r="C697" s="438" t="s">
        <v>23</v>
      </c>
      <c r="D697" s="457" t="s">
        <v>24</v>
      </c>
      <c r="E697" s="457" t="s">
        <v>51</v>
      </c>
      <c r="F697" s="457" t="s">
        <v>320</v>
      </c>
      <c r="G697" s="434">
        <v>2</v>
      </c>
      <c r="H697" s="457"/>
      <c r="I697" s="457"/>
      <c r="J697" s="55" t="s">
        <v>451</v>
      </c>
      <c r="K697" s="298" t="s">
        <v>28</v>
      </c>
      <c r="L697" s="73" t="s">
        <v>17</v>
      </c>
      <c r="M697" s="55" t="s">
        <v>26</v>
      </c>
      <c r="N697" s="467"/>
      <c r="O697" s="265">
        <v>1</v>
      </c>
      <c r="P697" s="267"/>
      <c r="Q697" s="267"/>
      <c r="R697" s="273">
        <f>G697*O697</f>
        <v>2</v>
      </c>
      <c r="S697" s="155"/>
    </row>
    <row r="698" spans="1:19" s="61" customFormat="1" ht="15.75" customHeight="1" x14ac:dyDescent="0.25">
      <c r="A698" s="447"/>
      <c r="B698" s="432"/>
      <c r="C698" s="439"/>
      <c r="D698" s="458"/>
      <c r="E698" s="458"/>
      <c r="F698" s="458"/>
      <c r="G698" s="435"/>
      <c r="H698" s="458"/>
      <c r="I698" s="458"/>
      <c r="J698" s="55"/>
      <c r="K698" s="298"/>
      <c r="L698" s="73"/>
      <c r="M698" s="55"/>
      <c r="N698" s="468"/>
      <c r="O698" s="265">
        <v>0</v>
      </c>
      <c r="P698" s="267"/>
      <c r="Q698" s="267"/>
      <c r="R698" s="273">
        <f>G698*O698</f>
        <v>0</v>
      </c>
      <c r="S698" s="155"/>
    </row>
    <row r="699" spans="1:19" s="61" customFormat="1" ht="15.75" customHeight="1" x14ac:dyDescent="0.25">
      <c r="A699" s="447"/>
      <c r="B699" s="433"/>
      <c r="C699" s="192"/>
      <c r="D699" s="191"/>
      <c r="E699" s="191"/>
      <c r="F699" s="191"/>
      <c r="G699" s="47"/>
      <c r="H699" s="245">
        <v>1</v>
      </c>
      <c r="I699" s="331"/>
      <c r="J699" s="363"/>
      <c r="K699" s="363"/>
      <c r="L699" s="331"/>
      <c r="M699" s="363"/>
      <c r="N699" s="469"/>
      <c r="O699" s="265"/>
      <c r="P699" s="267"/>
      <c r="Q699" s="267"/>
      <c r="R699" s="273"/>
      <c r="S699" s="155"/>
    </row>
    <row r="700" spans="1:19" s="404" customFormat="1" ht="15" customHeight="1" x14ac:dyDescent="0.25">
      <c r="A700" s="447"/>
      <c r="B700" s="438" t="s">
        <v>353</v>
      </c>
      <c r="C700" s="441" t="s">
        <v>35</v>
      </c>
      <c r="D700" s="434" t="s">
        <v>24</v>
      </c>
      <c r="E700" s="434" t="s">
        <v>51</v>
      </c>
      <c r="F700" s="434" t="s">
        <v>320</v>
      </c>
      <c r="G700" s="332">
        <v>1</v>
      </c>
      <c r="H700" s="406"/>
      <c r="I700" s="406"/>
      <c r="J700" s="397" t="s">
        <v>455</v>
      </c>
      <c r="K700" s="397" t="s">
        <v>28</v>
      </c>
      <c r="L700" s="391" t="s">
        <v>17</v>
      </c>
      <c r="M700" s="397" t="s">
        <v>26</v>
      </c>
      <c r="N700" s="453"/>
      <c r="O700" s="166">
        <v>0</v>
      </c>
      <c r="P700" s="136"/>
      <c r="Q700" s="136"/>
      <c r="R700" s="273">
        <f t="shared" ref="R700:R701" si="180">G700*O700</f>
        <v>0</v>
      </c>
      <c r="S700" s="155"/>
    </row>
    <row r="701" spans="1:19" s="404" customFormat="1" ht="14.25" customHeight="1" x14ac:dyDescent="0.25">
      <c r="A701" s="447"/>
      <c r="B701" s="439"/>
      <c r="C701" s="442"/>
      <c r="D701" s="435"/>
      <c r="E701" s="435"/>
      <c r="F701" s="435"/>
      <c r="G701" s="408">
        <v>1</v>
      </c>
      <c r="H701" s="407"/>
      <c r="I701" s="406"/>
      <c r="J701" s="55" t="s">
        <v>466</v>
      </c>
      <c r="K701" s="397" t="s">
        <v>564</v>
      </c>
      <c r="L701" s="391" t="s">
        <v>17</v>
      </c>
      <c r="M701" s="397" t="s">
        <v>26</v>
      </c>
      <c r="N701" s="454"/>
      <c r="O701" s="166">
        <v>0</v>
      </c>
      <c r="P701" s="136"/>
      <c r="Q701" s="136"/>
      <c r="R701" s="273">
        <f t="shared" si="180"/>
        <v>0</v>
      </c>
      <c r="S701" s="155"/>
    </row>
    <row r="702" spans="1:19" s="404" customFormat="1" x14ac:dyDescent="0.25">
      <c r="A702" s="447"/>
      <c r="B702" s="439"/>
      <c r="C702" s="442"/>
      <c r="D702" s="435"/>
      <c r="E702" s="435"/>
      <c r="F702" s="435"/>
      <c r="G702" s="406"/>
      <c r="H702" s="293">
        <v>1</v>
      </c>
      <c r="I702" s="334"/>
      <c r="J702" s="402"/>
      <c r="K702" s="402"/>
      <c r="L702" s="331"/>
      <c r="M702" s="402"/>
      <c r="N702" s="455"/>
      <c r="O702" s="166"/>
      <c r="P702" s="136"/>
      <c r="Q702" s="136"/>
      <c r="R702" s="274"/>
      <c r="S702" s="155"/>
    </row>
    <row r="703" spans="1:19" s="404" customFormat="1" x14ac:dyDescent="0.25">
      <c r="A703" s="447"/>
      <c r="B703" s="431" t="s">
        <v>169</v>
      </c>
      <c r="C703" s="438" t="s">
        <v>23</v>
      </c>
      <c r="D703" s="457" t="s">
        <v>24</v>
      </c>
      <c r="E703" s="457" t="s">
        <v>51</v>
      </c>
      <c r="F703" s="457" t="s">
        <v>320</v>
      </c>
      <c r="G703" s="446">
        <v>2</v>
      </c>
      <c r="H703" s="457"/>
      <c r="I703" s="457"/>
      <c r="J703" s="133" t="s">
        <v>450</v>
      </c>
      <c r="K703" s="397" t="s">
        <v>564</v>
      </c>
      <c r="L703" s="391" t="s">
        <v>17</v>
      </c>
      <c r="M703" s="399" t="s">
        <v>26</v>
      </c>
      <c r="N703" s="451"/>
      <c r="O703" s="265">
        <v>1</v>
      </c>
      <c r="P703" s="267"/>
      <c r="Q703" s="267"/>
      <c r="R703" s="273">
        <f>G703*O703</f>
        <v>2</v>
      </c>
      <c r="S703" s="155"/>
    </row>
    <row r="704" spans="1:19" s="404" customFormat="1" x14ac:dyDescent="0.25">
      <c r="A704" s="447"/>
      <c r="B704" s="432"/>
      <c r="C704" s="439"/>
      <c r="D704" s="458"/>
      <c r="E704" s="458"/>
      <c r="F704" s="458"/>
      <c r="G704" s="448"/>
      <c r="H704" s="458"/>
      <c r="I704" s="458"/>
      <c r="J704" s="133"/>
      <c r="K704" s="397"/>
      <c r="L704" s="391"/>
      <c r="M704" s="399"/>
      <c r="N704" s="451"/>
      <c r="O704" s="265">
        <v>0</v>
      </c>
      <c r="P704" s="267"/>
      <c r="Q704" s="267"/>
      <c r="R704" s="273">
        <f>G704*O704</f>
        <v>0</v>
      </c>
      <c r="S704" s="155"/>
    </row>
    <row r="705" spans="1:19" s="404" customFormat="1" x14ac:dyDescent="0.25">
      <c r="A705" s="447"/>
      <c r="B705" s="433"/>
      <c r="C705" s="398"/>
      <c r="D705" s="392"/>
      <c r="E705" s="392"/>
      <c r="F705" s="392"/>
      <c r="G705" s="391"/>
      <c r="H705" s="245">
        <v>1</v>
      </c>
      <c r="I705" s="331"/>
      <c r="J705" s="402"/>
      <c r="K705" s="402"/>
      <c r="L705" s="331"/>
      <c r="M705" s="402"/>
      <c r="N705" s="395"/>
      <c r="O705" s="265"/>
      <c r="P705" s="267"/>
      <c r="Q705" s="267"/>
      <c r="R705" s="273"/>
      <c r="S705" s="155"/>
    </row>
    <row r="706" spans="1:19" s="61" customFormat="1" ht="15" customHeight="1" x14ac:dyDescent="0.25">
      <c r="A706" s="447"/>
      <c r="B706" s="431" t="s">
        <v>580</v>
      </c>
      <c r="C706" s="438" t="s">
        <v>23</v>
      </c>
      <c r="D706" s="457" t="s">
        <v>24</v>
      </c>
      <c r="E706" s="457" t="s">
        <v>51</v>
      </c>
      <c r="F706" s="457" t="s">
        <v>320</v>
      </c>
      <c r="G706" s="434">
        <v>2</v>
      </c>
      <c r="H706" s="457"/>
      <c r="I706" s="457"/>
      <c r="J706" s="363" t="s">
        <v>547</v>
      </c>
      <c r="K706" s="48" t="s">
        <v>43</v>
      </c>
      <c r="L706" s="47" t="s">
        <v>37</v>
      </c>
      <c r="M706" s="152"/>
      <c r="N706" s="451"/>
      <c r="O706" s="265">
        <v>1</v>
      </c>
      <c r="P706" s="267"/>
      <c r="Q706" s="267"/>
      <c r="R706" s="273">
        <f>G706*O706</f>
        <v>2</v>
      </c>
      <c r="S706" s="155"/>
    </row>
    <row r="707" spans="1:19" s="61" customFormat="1" x14ac:dyDescent="0.25">
      <c r="A707" s="447"/>
      <c r="B707" s="432"/>
      <c r="C707" s="439"/>
      <c r="D707" s="458"/>
      <c r="E707" s="458"/>
      <c r="F707" s="458"/>
      <c r="G707" s="435"/>
      <c r="H707" s="458"/>
      <c r="I707" s="458"/>
      <c r="J707" s="363"/>
      <c r="K707" s="363"/>
      <c r="L707" s="331"/>
      <c r="M707" s="152"/>
      <c r="N707" s="451"/>
      <c r="O707" s="265">
        <v>0</v>
      </c>
      <c r="P707" s="267"/>
      <c r="Q707" s="267"/>
      <c r="R707" s="273">
        <f>G707*O707</f>
        <v>0</v>
      </c>
      <c r="S707" s="155"/>
    </row>
    <row r="708" spans="1:19" s="61" customFormat="1" x14ac:dyDescent="0.25">
      <c r="A708" s="448"/>
      <c r="B708" s="433"/>
      <c r="C708" s="192"/>
      <c r="D708" s="191"/>
      <c r="E708" s="191"/>
      <c r="F708" s="191"/>
      <c r="G708" s="47"/>
      <c r="H708" s="245">
        <v>1</v>
      </c>
      <c r="I708" s="331"/>
      <c r="J708" s="363"/>
      <c r="K708" s="363"/>
      <c r="L708" s="331"/>
      <c r="M708" s="363"/>
      <c r="N708" s="357"/>
      <c r="O708" s="265"/>
      <c r="P708" s="267"/>
      <c r="Q708" s="267"/>
      <c r="R708" s="273"/>
      <c r="S708" s="155"/>
    </row>
    <row r="709" spans="1:19" s="61" customFormat="1" x14ac:dyDescent="0.25">
      <c r="A709" s="452">
        <v>5</v>
      </c>
      <c r="B709" s="431" t="s">
        <v>354</v>
      </c>
      <c r="C709" s="441" t="s">
        <v>35</v>
      </c>
      <c r="D709" s="434" t="s">
        <v>24</v>
      </c>
      <c r="E709" s="434" t="s">
        <v>51</v>
      </c>
      <c r="F709" s="434" t="s">
        <v>320</v>
      </c>
      <c r="G709" s="373">
        <v>2</v>
      </c>
      <c r="H709" s="292"/>
      <c r="I709" s="288"/>
      <c r="J709" s="388" t="s">
        <v>563</v>
      </c>
      <c r="K709" s="425" t="s">
        <v>82</v>
      </c>
      <c r="L709" s="331" t="s">
        <v>17</v>
      </c>
      <c r="M709" s="363" t="s">
        <v>26</v>
      </c>
      <c r="N709" s="453"/>
      <c r="O709" s="265">
        <v>0</v>
      </c>
      <c r="P709" s="267"/>
      <c r="Q709" s="267"/>
      <c r="R709" s="273">
        <f>G709*O709</f>
        <v>0</v>
      </c>
      <c r="S709" s="155"/>
    </row>
    <row r="710" spans="1:19" s="61" customFormat="1" ht="15.75" customHeight="1" x14ac:dyDescent="0.25">
      <c r="A710" s="447"/>
      <c r="B710" s="436"/>
      <c r="C710" s="442"/>
      <c r="D710" s="435"/>
      <c r="E710" s="435"/>
      <c r="F710" s="435"/>
      <c r="G710" s="373"/>
      <c r="H710" s="292"/>
      <c r="I710" s="288"/>
      <c r="J710" s="150"/>
      <c r="K710" s="363"/>
      <c r="L710" s="331"/>
      <c r="M710" s="363"/>
      <c r="N710" s="454"/>
      <c r="O710" s="265">
        <v>0</v>
      </c>
      <c r="P710" s="267"/>
      <c r="Q710" s="267"/>
      <c r="R710" s="273">
        <f>G710*O710</f>
        <v>0</v>
      </c>
      <c r="S710" s="155"/>
    </row>
    <row r="711" spans="1:19" s="61" customFormat="1" ht="15.75" customHeight="1" x14ac:dyDescent="0.25">
      <c r="A711" s="447"/>
      <c r="B711" s="459"/>
      <c r="C711" s="442"/>
      <c r="D711" s="435"/>
      <c r="E711" s="435"/>
      <c r="F711" s="435"/>
      <c r="G711" s="288"/>
      <c r="H711" s="293">
        <v>1</v>
      </c>
      <c r="I711" s="334"/>
      <c r="J711" s="363"/>
      <c r="K711" s="363"/>
      <c r="L711" s="331"/>
      <c r="M711" s="363"/>
      <c r="N711" s="455"/>
      <c r="O711" s="166"/>
      <c r="P711" s="136"/>
      <c r="Q711" s="136"/>
      <c r="R711" s="274"/>
      <c r="S711" s="155"/>
    </row>
    <row r="712" spans="1:19" s="404" customFormat="1" ht="15" customHeight="1" x14ac:dyDescent="0.25">
      <c r="A712" s="447"/>
      <c r="B712" s="431" t="s">
        <v>352</v>
      </c>
      <c r="C712" s="438" t="s">
        <v>23</v>
      </c>
      <c r="D712" s="457" t="s">
        <v>24</v>
      </c>
      <c r="E712" s="457" t="s">
        <v>51</v>
      </c>
      <c r="F712" s="457" t="s">
        <v>320</v>
      </c>
      <c r="G712" s="393">
        <v>2</v>
      </c>
      <c r="H712" s="391"/>
      <c r="I712" s="391"/>
      <c r="J712" s="402" t="s">
        <v>452</v>
      </c>
      <c r="K712" s="397" t="s">
        <v>82</v>
      </c>
      <c r="L712" s="391" t="s">
        <v>17</v>
      </c>
      <c r="M712" s="152" t="s">
        <v>26</v>
      </c>
      <c r="N712" s="451"/>
      <c r="O712" s="265">
        <v>1</v>
      </c>
      <c r="P712" s="267"/>
      <c r="Q712" s="267"/>
      <c r="R712" s="273">
        <f>G712*O712</f>
        <v>2</v>
      </c>
      <c r="S712" s="155"/>
    </row>
    <row r="713" spans="1:19" s="404" customFormat="1" x14ac:dyDescent="0.25">
      <c r="A713" s="447"/>
      <c r="B713" s="432"/>
      <c r="C713" s="439"/>
      <c r="D713" s="458"/>
      <c r="E713" s="458"/>
      <c r="F713" s="458"/>
      <c r="G713" s="394"/>
      <c r="H713" s="392"/>
      <c r="I713" s="392"/>
      <c r="J713" s="402"/>
      <c r="K713" s="402"/>
      <c r="L713" s="331"/>
      <c r="M713" s="152"/>
      <c r="N713" s="451"/>
      <c r="O713" s="265">
        <v>0</v>
      </c>
      <c r="P713" s="267"/>
      <c r="Q713" s="267"/>
      <c r="R713" s="273">
        <f>G713*O713</f>
        <v>0</v>
      </c>
      <c r="S713" s="155"/>
    </row>
    <row r="714" spans="1:19" s="404" customFormat="1" x14ac:dyDescent="0.25">
      <c r="A714" s="447"/>
      <c r="B714" s="433"/>
      <c r="C714" s="398"/>
      <c r="D714" s="392"/>
      <c r="E714" s="392"/>
      <c r="F714" s="392"/>
      <c r="G714" s="391"/>
      <c r="H714" s="245">
        <v>1</v>
      </c>
      <c r="I714" s="331"/>
      <c r="J714" s="402"/>
      <c r="K714" s="402"/>
      <c r="L714" s="331"/>
      <c r="M714" s="402"/>
      <c r="N714" s="395"/>
      <c r="O714" s="265"/>
      <c r="P714" s="267"/>
      <c r="Q714" s="267"/>
      <c r="R714" s="273"/>
      <c r="S714" s="155"/>
    </row>
    <row r="715" spans="1:19" s="404" customFormat="1" ht="15" customHeight="1" x14ac:dyDescent="0.25">
      <c r="A715" s="447"/>
      <c r="B715" s="431" t="s">
        <v>355</v>
      </c>
      <c r="C715" s="438" t="s">
        <v>23</v>
      </c>
      <c r="D715" s="457" t="s">
        <v>24</v>
      </c>
      <c r="E715" s="457" t="s">
        <v>51</v>
      </c>
      <c r="F715" s="457" t="s">
        <v>320</v>
      </c>
      <c r="G715" s="393">
        <v>2</v>
      </c>
      <c r="H715" s="391"/>
      <c r="I715" s="391"/>
      <c r="J715" s="377" t="s">
        <v>555</v>
      </c>
      <c r="K715" s="397" t="s">
        <v>82</v>
      </c>
      <c r="L715" s="56" t="s">
        <v>41</v>
      </c>
      <c r="M715" s="402" t="s">
        <v>552</v>
      </c>
      <c r="N715" s="451"/>
      <c r="O715" s="265">
        <v>1</v>
      </c>
      <c r="P715" s="267"/>
      <c r="Q715" s="267"/>
      <c r="R715" s="273">
        <f>G715*O715</f>
        <v>2</v>
      </c>
      <c r="S715" s="155"/>
    </row>
    <row r="716" spans="1:19" s="404" customFormat="1" x14ac:dyDescent="0.25">
      <c r="A716" s="447"/>
      <c r="B716" s="432"/>
      <c r="C716" s="439"/>
      <c r="D716" s="458"/>
      <c r="E716" s="458"/>
      <c r="F716" s="458"/>
      <c r="G716" s="394"/>
      <c r="H716" s="392"/>
      <c r="I716" s="392"/>
      <c r="J716" s="402"/>
      <c r="K716" s="402"/>
      <c r="L716" s="331"/>
      <c r="M716" s="152"/>
      <c r="N716" s="451"/>
      <c r="O716" s="265">
        <v>0</v>
      </c>
      <c r="P716" s="267"/>
      <c r="Q716" s="267"/>
      <c r="R716" s="273">
        <f>G716*O716</f>
        <v>0</v>
      </c>
      <c r="S716" s="155"/>
    </row>
    <row r="717" spans="1:19" s="404" customFormat="1" x14ac:dyDescent="0.25">
      <c r="A717" s="447"/>
      <c r="B717" s="433"/>
      <c r="C717" s="398"/>
      <c r="D717" s="392"/>
      <c r="E717" s="392"/>
      <c r="F717" s="392"/>
      <c r="G717" s="391"/>
      <c r="H717" s="245">
        <v>1</v>
      </c>
      <c r="I717" s="331"/>
      <c r="J717" s="402"/>
      <c r="K717" s="402"/>
      <c r="L717" s="331"/>
      <c r="M717" s="402"/>
      <c r="N717" s="395"/>
      <c r="O717" s="265"/>
      <c r="P717" s="267"/>
      <c r="Q717" s="267"/>
      <c r="R717" s="273"/>
      <c r="S717" s="155"/>
    </row>
    <row r="718" spans="1:19" s="404" customFormat="1" ht="15" customHeight="1" x14ac:dyDescent="0.25">
      <c r="A718" s="447"/>
      <c r="B718" s="431" t="s">
        <v>356</v>
      </c>
      <c r="C718" s="438" t="s">
        <v>23</v>
      </c>
      <c r="D718" s="457" t="s">
        <v>24</v>
      </c>
      <c r="E718" s="457" t="s">
        <v>51</v>
      </c>
      <c r="F718" s="457" t="s">
        <v>320</v>
      </c>
      <c r="G718" s="393">
        <v>2</v>
      </c>
      <c r="H718" s="391"/>
      <c r="I718" s="391"/>
      <c r="J718" s="397" t="s">
        <v>465</v>
      </c>
      <c r="K718" s="397" t="s">
        <v>82</v>
      </c>
      <c r="L718" s="391" t="s">
        <v>17</v>
      </c>
      <c r="M718" s="397" t="s">
        <v>26</v>
      </c>
      <c r="N718" s="451"/>
      <c r="O718" s="265">
        <v>1</v>
      </c>
      <c r="P718" s="267"/>
      <c r="Q718" s="267"/>
      <c r="R718" s="273">
        <f>G718*O718</f>
        <v>2</v>
      </c>
      <c r="S718" s="155"/>
    </row>
    <row r="719" spans="1:19" s="404" customFormat="1" x14ac:dyDescent="0.25">
      <c r="A719" s="447"/>
      <c r="B719" s="432"/>
      <c r="C719" s="439"/>
      <c r="D719" s="458"/>
      <c r="E719" s="458"/>
      <c r="F719" s="458"/>
      <c r="G719" s="394"/>
      <c r="H719" s="392"/>
      <c r="I719" s="392"/>
      <c r="J719" s="402"/>
      <c r="K719" s="402"/>
      <c r="L719" s="331"/>
      <c r="M719" s="152"/>
      <c r="N719" s="451"/>
      <c r="O719" s="265">
        <v>0</v>
      </c>
      <c r="P719" s="267"/>
      <c r="Q719" s="267"/>
      <c r="R719" s="273">
        <f>G719*O719</f>
        <v>0</v>
      </c>
      <c r="S719" s="155"/>
    </row>
    <row r="720" spans="1:19" s="404" customFormat="1" x14ac:dyDescent="0.25">
      <c r="A720" s="447"/>
      <c r="B720" s="433"/>
      <c r="C720" s="398"/>
      <c r="D720" s="392"/>
      <c r="E720" s="392"/>
      <c r="F720" s="392"/>
      <c r="G720" s="391"/>
      <c r="H720" s="245">
        <v>1</v>
      </c>
      <c r="I720" s="331"/>
      <c r="J720" s="402"/>
      <c r="K720" s="402"/>
      <c r="L720" s="331"/>
      <c r="M720" s="402"/>
      <c r="N720" s="395"/>
      <c r="O720" s="265"/>
      <c r="P720" s="267"/>
      <c r="Q720" s="267"/>
      <c r="R720" s="273"/>
      <c r="S720" s="155"/>
    </row>
    <row r="721" spans="1:19" s="404" customFormat="1" ht="15" customHeight="1" x14ac:dyDescent="0.25">
      <c r="A721" s="447"/>
      <c r="B721" s="460" t="s">
        <v>581</v>
      </c>
      <c r="C721" s="438" t="s">
        <v>23</v>
      </c>
      <c r="D721" s="457" t="s">
        <v>24</v>
      </c>
      <c r="E721" s="457" t="s">
        <v>51</v>
      </c>
      <c r="F721" s="457" t="s">
        <v>320</v>
      </c>
      <c r="G721" s="393">
        <v>2</v>
      </c>
      <c r="H721" s="391"/>
      <c r="I721" s="391"/>
      <c r="J721" s="427" t="s">
        <v>461</v>
      </c>
      <c r="K721" s="427" t="s">
        <v>82</v>
      </c>
      <c r="L721" s="428" t="s">
        <v>17</v>
      </c>
      <c r="M721" s="426" t="s">
        <v>26</v>
      </c>
      <c r="N721" s="451"/>
      <c r="O721" s="265">
        <v>1</v>
      </c>
      <c r="P721" s="267"/>
      <c r="Q721" s="267"/>
      <c r="R721" s="273">
        <f>G721*O721</f>
        <v>2</v>
      </c>
      <c r="S721" s="155"/>
    </row>
    <row r="722" spans="1:19" s="404" customFormat="1" x14ac:dyDescent="0.25">
      <c r="A722" s="447"/>
      <c r="B722" s="461"/>
      <c r="C722" s="439"/>
      <c r="D722" s="458"/>
      <c r="E722" s="458"/>
      <c r="F722" s="458"/>
      <c r="G722" s="394"/>
      <c r="H722" s="392"/>
      <c r="I722" s="392"/>
      <c r="J722" s="402"/>
      <c r="K722" s="402"/>
      <c r="L722" s="331"/>
      <c r="M722" s="152"/>
      <c r="N722" s="451"/>
      <c r="O722" s="265">
        <v>0</v>
      </c>
      <c r="P722" s="267"/>
      <c r="Q722" s="267"/>
      <c r="R722" s="273">
        <f>G722*O722</f>
        <v>0</v>
      </c>
      <c r="S722" s="155"/>
    </row>
    <row r="723" spans="1:19" s="404" customFormat="1" x14ac:dyDescent="0.25">
      <c r="A723" s="448"/>
      <c r="B723" s="462"/>
      <c r="C723" s="398"/>
      <c r="D723" s="392"/>
      <c r="E723" s="392"/>
      <c r="F723" s="392"/>
      <c r="G723" s="391"/>
      <c r="H723" s="245">
        <v>1</v>
      </c>
      <c r="I723" s="331"/>
      <c r="J723" s="402"/>
      <c r="K723" s="402"/>
      <c r="L723" s="331"/>
      <c r="M723" s="402"/>
      <c r="N723" s="395"/>
      <c r="O723" s="265"/>
      <c r="P723" s="267"/>
      <c r="Q723" s="267"/>
      <c r="R723" s="273"/>
      <c r="S723" s="155"/>
    </row>
    <row r="724" spans="1:19" s="61" customFormat="1" x14ac:dyDescent="0.25">
      <c r="A724" s="247"/>
      <c r="B724" s="294"/>
      <c r="C724" s="294"/>
      <c r="D724" s="295"/>
      <c r="E724" s="295"/>
      <c r="F724" s="295"/>
      <c r="G724" s="290">
        <f>SUM(G673:G723)</f>
        <v>34</v>
      </c>
      <c r="H724" s="296">
        <f>SUM(H673:H723)</f>
        <v>17</v>
      </c>
      <c r="I724" s="280"/>
      <c r="J724" s="279"/>
      <c r="K724" s="279"/>
      <c r="L724" s="280"/>
      <c r="M724" s="279"/>
      <c r="N724" s="281"/>
      <c r="O724" s="281"/>
      <c r="P724" s="155"/>
      <c r="Q724" s="155"/>
      <c r="R724" s="270"/>
      <c r="S724" s="155"/>
    </row>
    <row r="725" spans="1:19" s="61" customFormat="1" ht="27" customHeight="1" x14ac:dyDescent="0.25">
      <c r="A725" s="123"/>
      <c r="B725" s="161"/>
      <c r="C725" s="161"/>
      <c r="D725" s="148"/>
      <c r="E725" s="148"/>
      <c r="F725" s="148"/>
      <c r="G725" s="20"/>
      <c r="H725" s="162"/>
      <c r="I725" s="145"/>
      <c r="J725" s="128"/>
      <c r="K725" s="128"/>
      <c r="L725" s="145"/>
      <c r="M725" s="128"/>
      <c r="N725" s="159"/>
      <c r="O725" s="159"/>
      <c r="P725"/>
      <c r="Q725"/>
      <c r="R725" s="66"/>
      <c r="S725"/>
    </row>
    <row r="726" spans="1:19" ht="26.25" customHeight="1" x14ac:dyDescent="0.25">
      <c r="A726" s="6"/>
      <c r="B726" s="322" t="s">
        <v>332</v>
      </c>
      <c r="C726" s="322"/>
      <c r="D726" s="323"/>
      <c r="E726" s="323"/>
      <c r="F726" s="323"/>
      <c r="G726" s="323"/>
      <c r="H726" s="322"/>
      <c r="I726" s="322"/>
      <c r="J726" s="322"/>
      <c r="K726" s="7"/>
      <c r="L726" s="6"/>
      <c r="M726" s="7"/>
      <c r="R726" s="66"/>
    </row>
    <row r="727" spans="1:19" ht="16.5" customHeight="1" x14ac:dyDescent="0.25">
      <c r="A727" s="6"/>
      <c r="B727" s="7"/>
      <c r="C727" s="7"/>
      <c r="D727" s="6"/>
      <c r="E727" s="6"/>
      <c r="F727" s="6"/>
      <c r="G727" s="6"/>
      <c r="H727" s="7"/>
      <c r="I727" s="7"/>
      <c r="J727" s="7"/>
      <c r="K727" s="7"/>
      <c r="L727" s="6"/>
      <c r="M727" s="7"/>
      <c r="R727" s="309"/>
    </row>
    <row r="728" spans="1:19" s="61" customFormat="1" ht="15.75" x14ac:dyDescent="0.25">
      <c r="A728"/>
      <c r="B728" s="315" t="s">
        <v>49</v>
      </c>
      <c r="C728" s="29"/>
      <c r="D728"/>
      <c r="E728"/>
      <c r="F728"/>
      <c r="G728"/>
      <c r="H728"/>
      <c r="I728"/>
      <c r="J728"/>
      <c r="K728" s="31"/>
      <c r="L728" s="32"/>
      <c r="M728" s="32"/>
      <c r="N728"/>
      <c r="O728"/>
      <c r="P728"/>
      <c r="Q728"/>
      <c r="R728" s="66"/>
      <c r="S728"/>
    </row>
    <row r="729" spans="1:19" ht="19.5" customHeight="1" x14ac:dyDescent="0.25">
      <c r="B729" s="143"/>
      <c r="C729" s="29"/>
      <c r="D729" s="20"/>
      <c r="E729" s="20"/>
      <c r="F729" s="20"/>
      <c r="J729" s="144"/>
      <c r="K729" s="143"/>
      <c r="L729" s="145"/>
      <c r="M729" s="146"/>
      <c r="R729" s="66"/>
    </row>
    <row r="730" spans="1:19" ht="26.25" customHeight="1" x14ac:dyDescent="0.25">
      <c r="A730" s="478">
        <v>5</v>
      </c>
      <c r="B730" s="437" t="s">
        <v>294</v>
      </c>
      <c r="C730" s="363" t="s">
        <v>288</v>
      </c>
      <c r="D730" s="331" t="s">
        <v>24</v>
      </c>
      <c r="E730" s="331" t="s">
        <v>51</v>
      </c>
      <c r="F730" s="331" t="s">
        <v>319</v>
      </c>
      <c r="G730" s="334">
        <v>2</v>
      </c>
      <c r="H730" s="334"/>
      <c r="I730" s="331"/>
      <c r="J730" s="55" t="s">
        <v>502</v>
      </c>
      <c r="K730" s="55" t="s">
        <v>28</v>
      </c>
      <c r="L730" s="73" t="s">
        <v>37</v>
      </c>
      <c r="M730" s="55" t="s">
        <v>507</v>
      </c>
      <c r="N730" s="362"/>
      <c r="O730" s="265">
        <v>0</v>
      </c>
      <c r="P730" s="266"/>
      <c r="Q730" s="267"/>
      <c r="R730" s="273">
        <f>G730*O730</f>
        <v>0</v>
      </c>
      <c r="S730" s="155"/>
    </row>
    <row r="731" spans="1:19" ht="26.25" customHeight="1" x14ac:dyDescent="0.25">
      <c r="A731" s="518"/>
      <c r="B731" s="433"/>
      <c r="C731" s="48"/>
      <c r="D731" s="47"/>
      <c r="E731" s="191"/>
      <c r="F731" s="47"/>
      <c r="G731" s="288"/>
      <c r="H731" s="292">
        <v>2</v>
      </c>
      <c r="I731" s="47"/>
      <c r="J731" s="48"/>
      <c r="K731" s="48"/>
      <c r="L731" s="47"/>
      <c r="M731" s="48"/>
      <c r="N731" s="362"/>
      <c r="O731" s="265"/>
      <c r="P731" s="266"/>
      <c r="Q731" s="267"/>
      <c r="R731" s="273"/>
      <c r="S731" s="155"/>
    </row>
    <row r="732" spans="1:19" ht="26.25" customHeight="1" x14ac:dyDescent="0.25">
      <c r="A732" s="434">
        <v>6</v>
      </c>
      <c r="B732" s="431" t="s">
        <v>295</v>
      </c>
      <c r="C732" s="48" t="s">
        <v>288</v>
      </c>
      <c r="D732" s="47" t="s">
        <v>24</v>
      </c>
      <c r="E732" s="47" t="s">
        <v>51</v>
      </c>
      <c r="F732" s="47" t="s">
        <v>319</v>
      </c>
      <c r="G732" s="288">
        <v>2</v>
      </c>
      <c r="H732" s="288"/>
      <c r="I732" s="47"/>
      <c r="J732" s="363" t="s">
        <v>452</v>
      </c>
      <c r="K732" s="48" t="s">
        <v>82</v>
      </c>
      <c r="L732" s="47" t="s">
        <v>17</v>
      </c>
      <c r="M732" s="152" t="s">
        <v>26</v>
      </c>
      <c r="N732" s="362"/>
      <c r="O732" s="265">
        <v>0</v>
      </c>
      <c r="P732" s="266"/>
      <c r="Q732" s="267"/>
      <c r="R732" s="273">
        <f>G732*O732</f>
        <v>0</v>
      </c>
      <c r="S732" s="155"/>
    </row>
    <row r="733" spans="1:19" s="61" customFormat="1" x14ac:dyDescent="0.25">
      <c r="A733" s="435"/>
      <c r="B733" s="433"/>
      <c r="C733" s="48"/>
      <c r="D733" s="47"/>
      <c r="E733" s="47"/>
      <c r="F733" s="47"/>
      <c r="G733" s="288"/>
      <c r="H733" s="288">
        <v>2</v>
      </c>
      <c r="I733" s="47"/>
      <c r="J733" s="48"/>
      <c r="K733" s="48"/>
      <c r="L733" s="47"/>
      <c r="M733" s="48"/>
      <c r="N733" s="362"/>
      <c r="O733" s="265"/>
      <c r="P733" s="266"/>
      <c r="Q733" s="267"/>
      <c r="R733" s="274"/>
      <c r="S733" s="155"/>
    </row>
    <row r="734" spans="1:19" ht="26.25" customHeight="1" x14ac:dyDescent="0.25">
      <c r="A734" s="434">
        <v>7</v>
      </c>
      <c r="B734" s="431" t="s">
        <v>296</v>
      </c>
      <c r="C734" s="397" t="s">
        <v>288</v>
      </c>
      <c r="D734" s="391" t="s">
        <v>24</v>
      </c>
      <c r="E734" s="391" t="s">
        <v>51</v>
      </c>
      <c r="F734" s="391" t="s">
        <v>319</v>
      </c>
      <c r="G734" s="406">
        <v>2</v>
      </c>
      <c r="H734" s="406"/>
      <c r="I734" s="391"/>
      <c r="J734" s="55" t="s">
        <v>502</v>
      </c>
      <c r="K734" s="55" t="s">
        <v>28</v>
      </c>
      <c r="L734" s="73" t="s">
        <v>37</v>
      </c>
      <c r="M734" s="55" t="s">
        <v>507</v>
      </c>
      <c r="N734" s="396"/>
      <c r="O734" s="265">
        <v>0</v>
      </c>
      <c r="P734" s="266"/>
      <c r="Q734" s="267"/>
      <c r="R734" s="273">
        <f>G734*O734</f>
        <v>0</v>
      </c>
      <c r="S734" s="155"/>
    </row>
    <row r="735" spans="1:19" s="404" customFormat="1" x14ac:dyDescent="0.25">
      <c r="A735" s="435"/>
      <c r="B735" s="433"/>
      <c r="C735" s="397"/>
      <c r="D735" s="391"/>
      <c r="E735" s="391"/>
      <c r="F735" s="391"/>
      <c r="G735" s="406"/>
      <c r="H735" s="406">
        <v>2</v>
      </c>
      <c r="I735" s="391"/>
      <c r="J735" s="397"/>
      <c r="K735" s="397"/>
      <c r="L735" s="391"/>
      <c r="M735" s="397"/>
      <c r="N735" s="396"/>
      <c r="O735" s="265"/>
      <c r="P735" s="266"/>
      <c r="Q735" s="267"/>
      <c r="R735" s="274"/>
      <c r="S735" s="155"/>
    </row>
    <row r="736" spans="1:19" s="61" customFormat="1" ht="15.75" customHeight="1" x14ac:dyDescent="0.25">
      <c r="A736" s="446">
        <v>8</v>
      </c>
      <c r="B736" s="431" t="s">
        <v>297</v>
      </c>
      <c r="C736" s="48" t="s">
        <v>288</v>
      </c>
      <c r="D736" s="47" t="s">
        <v>24</v>
      </c>
      <c r="E736" s="47" t="s">
        <v>51</v>
      </c>
      <c r="F736" s="47" t="s">
        <v>320</v>
      </c>
      <c r="G736" s="288">
        <v>1</v>
      </c>
      <c r="H736" s="288"/>
      <c r="I736" s="47"/>
      <c r="J736" s="48" t="s">
        <v>467</v>
      </c>
      <c r="K736" s="251" t="s">
        <v>28</v>
      </c>
      <c r="L736" s="331" t="s">
        <v>17</v>
      </c>
      <c r="M736" s="363" t="s">
        <v>26</v>
      </c>
      <c r="N736" s="456"/>
      <c r="O736" s="265">
        <v>0</v>
      </c>
      <c r="P736" s="266"/>
      <c r="Q736" s="267"/>
      <c r="R736" s="273">
        <f>G736*O736</f>
        <v>0</v>
      </c>
      <c r="S736" s="155"/>
    </row>
    <row r="737" spans="1:19" s="61" customFormat="1" ht="15.75" customHeight="1" x14ac:dyDescent="0.25">
      <c r="A737" s="527"/>
      <c r="B737" s="432"/>
      <c r="C737" s="48" t="s">
        <v>288</v>
      </c>
      <c r="D737" s="47" t="s">
        <v>24</v>
      </c>
      <c r="E737" s="47" t="s">
        <v>51</v>
      </c>
      <c r="F737" s="47" t="s">
        <v>320</v>
      </c>
      <c r="G737" s="288">
        <v>1</v>
      </c>
      <c r="H737" s="288"/>
      <c r="I737" s="47"/>
      <c r="J737" s="363" t="s">
        <v>449</v>
      </c>
      <c r="K737" s="251" t="s">
        <v>28</v>
      </c>
      <c r="L737" s="47" t="s">
        <v>17</v>
      </c>
      <c r="M737" s="48" t="s">
        <v>26</v>
      </c>
      <c r="N737" s="456"/>
      <c r="O737" s="265">
        <v>1</v>
      </c>
      <c r="P737" s="266"/>
      <c r="Q737" s="267"/>
      <c r="R737" s="273">
        <f>G737*O737</f>
        <v>1</v>
      </c>
      <c r="S737" s="155"/>
    </row>
    <row r="738" spans="1:19" s="61" customFormat="1" ht="15.75" customHeight="1" x14ac:dyDescent="0.25">
      <c r="A738" s="542"/>
      <c r="B738" s="433"/>
      <c r="C738" s="48"/>
      <c r="D738" s="47"/>
      <c r="E738" s="47"/>
      <c r="F738" s="47"/>
      <c r="G738" s="288"/>
      <c r="H738" s="288">
        <v>2</v>
      </c>
      <c r="I738" s="47"/>
      <c r="J738" s="363"/>
      <c r="K738" s="359"/>
      <c r="L738" s="47"/>
      <c r="M738" s="48"/>
      <c r="N738" s="362"/>
      <c r="O738" s="265"/>
      <c r="P738" s="266"/>
      <c r="Q738" s="267"/>
      <c r="R738" s="274"/>
      <c r="S738" s="155"/>
    </row>
    <row r="739" spans="1:19" s="61" customFormat="1" x14ac:dyDescent="0.25">
      <c r="A739" s="542"/>
      <c r="B739" s="463" t="s">
        <v>305</v>
      </c>
      <c r="C739" s="48" t="s">
        <v>288</v>
      </c>
      <c r="D739" s="47" t="s">
        <v>24</v>
      </c>
      <c r="E739" s="47" t="s">
        <v>51</v>
      </c>
      <c r="F739" s="47" t="s">
        <v>320</v>
      </c>
      <c r="G739" s="166">
        <v>2</v>
      </c>
      <c r="H739" s="136"/>
      <c r="J739" s="136"/>
      <c r="K739" s="136"/>
      <c r="L739" s="331"/>
      <c r="M739" s="127"/>
      <c r="O739" s="265">
        <v>0</v>
      </c>
      <c r="P739" s="267"/>
      <c r="Q739" s="267"/>
      <c r="R739" s="273">
        <f>G739*O739</f>
        <v>0</v>
      </c>
      <c r="S739" s="155"/>
    </row>
    <row r="740" spans="1:19" s="61" customFormat="1" x14ac:dyDescent="0.25">
      <c r="A740" s="543"/>
      <c r="B740" s="464"/>
      <c r="C740" s="48"/>
      <c r="D740" s="47"/>
      <c r="E740" s="47"/>
      <c r="F740" s="47"/>
      <c r="G740" s="166"/>
      <c r="H740" s="136">
        <v>2</v>
      </c>
      <c r="J740" s="136"/>
      <c r="K740" s="136"/>
      <c r="L740" s="331"/>
      <c r="M740" s="127"/>
      <c r="O740" s="267"/>
      <c r="P740" s="267"/>
      <c r="Q740" s="267"/>
      <c r="R740" s="273"/>
      <c r="S740" s="155"/>
    </row>
    <row r="741" spans="1:19" s="61" customFormat="1" x14ac:dyDescent="0.25">
      <c r="A741" s="434">
        <v>5</v>
      </c>
      <c r="B741" s="437" t="s">
        <v>312</v>
      </c>
      <c r="C741" s="437" t="s">
        <v>288</v>
      </c>
      <c r="D741" s="474" t="s">
        <v>36</v>
      </c>
      <c r="E741" s="474" t="s">
        <v>51</v>
      </c>
      <c r="F741" s="474" t="s">
        <v>321</v>
      </c>
      <c r="G741" s="537">
        <v>2</v>
      </c>
      <c r="H741" s="537"/>
      <c r="I741" s="474"/>
      <c r="J741" s="55" t="s">
        <v>502</v>
      </c>
      <c r="K741" s="55" t="s">
        <v>28</v>
      </c>
      <c r="L741" s="73" t="s">
        <v>37</v>
      </c>
      <c r="M741" s="55" t="s">
        <v>507</v>
      </c>
      <c r="N741" s="453"/>
      <c r="O741" s="265">
        <v>0</v>
      </c>
      <c r="P741" s="266"/>
      <c r="Q741" s="267"/>
      <c r="R741" s="273">
        <f>G741*O741</f>
        <v>0</v>
      </c>
      <c r="S741" s="155"/>
    </row>
    <row r="742" spans="1:19" s="61" customFormat="1" x14ac:dyDescent="0.25">
      <c r="A742" s="434"/>
      <c r="B742" s="450"/>
      <c r="C742" s="473"/>
      <c r="D742" s="475"/>
      <c r="E742" s="475"/>
      <c r="F742" s="475"/>
      <c r="G742" s="538"/>
      <c r="H742" s="538"/>
      <c r="I742" s="475"/>
      <c r="J742" s="363"/>
      <c r="K742" s="48"/>
      <c r="L742" s="47"/>
      <c r="M742" s="363"/>
      <c r="N742" s="471"/>
      <c r="O742" s="265">
        <v>0</v>
      </c>
      <c r="P742" s="266"/>
      <c r="Q742" s="267"/>
      <c r="R742" s="273">
        <f>G742*O744</f>
        <v>0</v>
      </c>
      <c r="S742" s="155"/>
    </row>
    <row r="743" spans="1:19" s="61" customFormat="1" ht="15.75" customHeight="1" x14ac:dyDescent="0.25">
      <c r="A743" s="435"/>
      <c r="B743" s="433"/>
      <c r="C743" s="192"/>
      <c r="D743" s="191"/>
      <c r="E743" s="191"/>
      <c r="F743" s="191"/>
      <c r="G743" s="292"/>
      <c r="H743" s="292">
        <v>2</v>
      </c>
      <c r="I743" s="191"/>
      <c r="J743" s="192"/>
      <c r="K743" s="192"/>
      <c r="L743" s="191"/>
      <c r="M743" s="192"/>
      <c r="N743" s="455"/>
      <c r="O743" s="265"/>
      <c r="P743" s="266"/>
      <c r="Q743" s="267"/>
      <c r="R743" s="273"/>
      <c r="S743" s="155"/>
    </row>
    <row r="744" spans="1:19" s="61" customFormat="1" x14ac:dyDescent="0.25">
      <c r="A744" s="446">
        <v>6</v>
      </c>
      <c r="B744" s="431" t="s">
        <v>313</v>
      </c>
      <c r="C744" s="48" t="s">
        <v>288</v>
      </c>
      <c r="D744" s="47" t="s">
        <v>36</v>
      </c>
      <c r="E744" s="47" t="s">
        <v>51</v>
      </c>
      <c r="F744" s="47" t="s">
        <v>321</v>
      </c>
      <c r="G744" s="288">
        <v>2</v>
      </c>
      <c r="H744" s="288"/>
      <c r="I744" s="47"/>
      <c r="J744" s="48" t="s">
        <v>496</v>
      </c>
      <c r="K744" s="48" t="s">
        <v>28</v>
      </c>
      <c r="L744" s="47" t="s">
        <v>37</v>
      </c>
      <c r="M744" s="48" t="s">
        <v>513</v>
      </c>
      <c r="N744" s="362"/>
      <c r="O744" s="265">
        <v>0</v>
      </c>
      <c r="P744" s="266"/>
      <c r="Q744" s="267"/>
      <c r="R744" s="273">
        <f>G744*O744</f>
        <v>0</v>
      </c>
      <c r="S744" s="155"/>
    </row>
    <row r="745" spans="1:19" s="61" customFormat="1" ht="15.75" customHeight="1" x14ac:dyDescent="0.25">
      <c r="A745" s="528"/>
      <c r="B745" s="433"/>
      <c r="C745" s="192"/>
      <c r="D745" s="191"/>
      <c r="E745" s="191"/>
      <c r="F745" s="191"/>
      <c r="G745" s="191"/>
      <c r="H745" s="191">
        <v>2</v>
      </c>
      <c r="I745" s="191"/>
      <c r="J745" s="192"/>
      <c r="K745" s="192"/>
      <c r="L745" s="191"/>
      <c r="M745" s="192"/>
      <c r="N745" s="358"/>
      <c r="O745" s="265"/>
      <c r="P745" s="266"/>
      <c r="Q745" s="267"/>
      <c r="R745" s="273"/>
      <c r="S745" s="155"/>
    </row>
    <row r="746" spans="1:19" s="61" customFormat="1" ht="15.75" customHeight="1" x14ac:dyDescent="0.25">
      <c r="A746" s="447">
        <v>7</v>
      </c>
      <c r="B746" s="431" t="s">
        <v>314</v>
      </c>
      <c r="C746" s="48" t="s">
        <v>288</v>
      </c>
      <c r="D746" s="47" t="s">
        <v>36</v>
      </c>
      <c r="E746" s="47" t="s">
        <v>51</v>
      </c>
      <c r="F746" s="47" t="s">
        <v>320</v>
      </c>
      <c r="G746" s="332">
        <v>2</v>
      </c>
      <c r="H746" s="288"/>
      <c r="I746" s="47"/>
      <c r="J746" s="363" t="s">
        <v>566</v>
      </c>
      <c r="K746" s="48" t="s">
        <v>82</v>
      </c>
      <c r="L746" s="47" t="s">
        <v>567</v>
      </c>
      <c r="M746" s="363" t="s">
        <v>514</v>
      </c>
      <c r="N746" s="453"/>
      <c r="O746" s="265">
        <v>0</v>
      </c>
      <c r="P746" s="266"/>
      <c r="Q746" s="267"/>
      <c r="R746" s="273">
        <f>G746*O746</f>
        <v>0</v>
      </c>
      <c r="S746" s="155"/>
    </row>
    <row r="747" spans="1:19" s="61" customFormat="1" ht="15.75" customHeight="1" x14ac:dyDescent="0.25">
      <c r="A747" s="447"/>
      <c r="B747" s="432"/>
      <c r="C747" s="48" t="s">
        <v>288</v>
      </c>
      <c r="D747" s="47" t="s">
        <v>36</v>
      </c>
      <c r="E747" s="47" t="s">
        <v>51</v>
      </c>
      <c r="F747" s="47" t="s">
        <v>320</v>
      </c>
      <c r="G747" s="405"/>
      <c r="H747" s="288"/>
      <c r="I747" s="47"/>
      <c r="J747" s="363"/>
      <c r="K747" s="363"/>
      <c r="L747" s="331"/>
      <c r="M747" s="363"/>
      <c r="N747" s="454"/>
      <c r="O747" s="265"/>
      <c r="P747" s="266"/>
      <c r="Q747" s="267"/>
      <c r="R747" s="273"/>
      <c r="S747" s="155"/>
    </row>
    <row r="748" spans="1:19" s="61" customFormat="1" ht="15.75" customHeight="1" x14ac:dyDescent="0.25">
      <c r="A748" s="447"/>
      <c r="B748" s="433"/>
      <c r="C748" s="48"/>
      <c r="D748" s="47"/>
      <c r="E748" s="47"/>
      <c r="F748" s="47"/>
      <c r="G748" s="288"/>
      <c r="H748" s="288">
        <v>2</v>
      </c>
      <c r="I748" s="47"/>
      <c r="J748" s="363"/>
      <c r="K748" s="363"/>
      <c r="L748" s="331"/>
      <c r="M748" s="363"/>
      <c r="N748" s="455"/>
      <c r="O748" s="265"/>
      <c r="P748" s="266"/>
      <c r="Q748" s="267"/>
      <c r="R748" s="273"/>
      <c r="S748" s="155"/>
    </row>
    <row r="749" spans="1:19" s="61" customFormat="1" x14ac:dyDescent="0.25">
      <c r="A749" s="447"/>
      <c r="B749" s="431" t="s">
        <v>315</v>
      </c>
      <c r="C749" s="48" t="s">
        <v>288</v>
      </c>
      <c r="D749" s="47" t="s">
        <v>36</v>
      </c>
      <c r="E749" s="47" t="s">
        <v>51</v>
      </c>
      <c r="F749" s="47" t="s">
        <v>320</v>
      </c>
      <c r="G749" s="288">
        <v>2</v>
      </c>
      <c r="H749" s="288"/>
      <c r="I749" s="47"/>
      <c r="J749" s="48" t="s">
        <v>496</v>
      </c>
      <c r="K749" s="48" t="s">
        <v>28</v>
      </c>
      <c r="L749" s="47" t="s">
        <v>37</v>
      </c>
      <c r="M749" s="48" t="s">
        <v>513</v>
      </c>
      <c r="N749" s="453"/>
      <c r="O749" s="265">
        <v>0</v>
      </c>
      <c r="P749" s="266"/>
      <c r="Q749" s="267"/>
      <c r="R749" s="273">
        <f>G749*O749</f>
        <v>0</v>
      </c>
      <c r="S749" s="155"/>
    </row>
    <row r="750" spans="1:19" s="61" customFormat="1" x14ac:dyDescent="0.25">
      <c r="A750" s="447"/>
      <c r="B750" s="433"/>
      <c r="C750" s="48"/>
      <c r="D750" s="47"/>
      <c r="E750" s="47"/>
      <c r="F750" s="47"/>
      <c r="G750" s="288"/>
      <c r="H750" s="288">
        <v>2</v>
      </c>
      <c r="I750" s="47"/>
      <c r="J750" s="48"/>
      <c r="K750" s="48"/>
      <c r="L750" s="47"/>
      <c r="M750" s="48"/>
      <c r="N750" s="455"/>
      <c r="O750" s="265"/>
      <c r="P750" s="266"/>
      <c r="Q750" s="267"/>
      <c r="R750" s="273"/>
      <c r="S750" s="155"/>
    </row>
    <row r="751" spans="1:19" s="62" customFormat="1" ht="15.75" customHeight="1" x14ac:dyDescent="0.25">
      <c r="A751" s="447"/>
      <c r="B751" s="443" t="s">
        <v>316</v>
      </c>
      <c r="C751" s="363" t="s">
        <v>288</v>
      </c>
      <c r="D751" s="331" t="s">
        <v>36</v>
      </c>
      <c r="E751" s="331" t="s">
        <v>51</v>
      </c>
      <c r="F751" s="331" t="s">
        <v>320</v>
      </c>
      <c r="G751" s="385">
        <v>2</v>
      </c>
      <c r="H751" s="385"/>
      <c r="J751" s="251" t="s">
        <v>568</v>
      </c>
      <c r="K751" s="251" t="s">
        <v>43</v>
      </c>
      <c r="L751" s="376" t="s">
        <v>17</v>
      </c>
      <c r="M751" s="48" t="s">
        <v>26</v>
      </c>
      <c r="N751" s="534"/>
      <c r="O751" s="265">
        <v>1</v>
      </c>
      <c r="P751" s="378"/>
      <c r="Q751" s="378"/>
      <c r="R751" s="273">
        <f>G751*O751</f>
        <v>2</v>
      </c>
      <c r="S751" s="155"/>
    </row>
    <row r="752" spans="1:19" s="61" customFormat="1" ht="17.25" customHeight="1" x14ac:dyDescent="0.25">
      <c r="A752" s="448"/>
      <c r="B752" s="444"/>
      <c r="C752" s="48"/>
      <c r="D752" s="47"/>
      <c r="E752" s="47"/>
      <c r="F752" s="47"/>
      <c r="G752" s="166"/>
      <c r="H752" s="166">
        <v>2</v>
      </c>
      <c r="J752" s="136"/>
      <c r="K752" s="135"/>
      <c r="L752" s="47"/>
      <c r="M752" s="127"/>
      <c r="N752" s="535"/>
      <c r="O752" s="378"/>
      <c r="P752" s="267"/>
      <c r="Q752" s="267"/>
      <c r="R752" s="273"/>
      <c r="S752" s="155"/>
    </row>
    <row r="753" spans="1:20" s="61" customFormat="1" x14ac:dyDescent="0.25">
      <c r="A753" s="434">
        <v>8</v>
      </c>
      <c r="B753" s="431" t="s">
        <v>317</v>
      </c>
      <c r="C753" s="48" t="s">
        <v>288</v>
      </c>
      <c r="D753" s="47" t="s">
        <v>36</v>
      </c>
      <c r="E753" s="47" t="s">
        <v>51</v>
      </c>
      <c r="F753" s="47" t="s">
        <v>320</v>
      </c>
      <c r="G753" s="288">
        <v>2</v>
      </c>
      <c r="H753" s="288"/>
      <c r="I753" s="47"/>
      <c r="J753" s="363" t="s">
        <v>566</v>
      </c>
      <c r="K753" s="48" t="s">
        <v>82</v>
      </c>
      <c r="L753" s="47" t="s">
        <v>567</v>
      </c>
      <c r="M753" s="363" t="s">
        <v>514</v>
      </c>
      <c r="N753" s="453"/>
      <c r="O753" s="265">
        <v>0</v>
      </c>
      <c r="P753" s="266"/>
      <c r="Q753" s="267"/>
      <c r="R753" s="273">
        <f>G753*O753</f>
        <v>0</v>
      </c>
      <c r="S753" s="155"/>
    </row>
    <row r="754" spans="1:20" s="61" customFormat="1" x14ac:dyDescent="0.25">
      <c r="A754" s="434"/>
      <c r="B754" s="433"/>
      <c r="C754" s="48"/>
      <c r="D754" s="47"/>
      <c r="E754" s="47"/>
      <c r="F754" s="47"/>
      <c r="G754" s="288"/>
      <c r="H754" s="288">
        <v>2</v>
      </c>
      <c r="I754" s="47"/>
      <c r="J754" s="48"/>
      <c r="K754" s="48"/>
      <c r="L754" s="47"/>
      <c r="M754" s="48"/>
      <c r="N754" s="455"/>
      <c r="O754" s="265"/>
      <c r="P754" s="266"/>
      <c r="Q754" s="267"/>
      <c r="R754" s="273"/>
      <c r="S754" s="155"/>
    </row>
    <row r="755" spans="1:20" s="61" customFormat="1" ht="15.75" customHeight="1" x14ac:dyDescent="0.25">
      <c r="A755" s="434"/>
      <c r="B755" s="431" t="s">
        <v>318</v>
      </c>
      <c r="C755" s="48" t="s">
        <v>288</v>
      </c>
      <c r="D755" s="47" t="s">
        <v>36</v>
      </c>
      <c r="E755" s="47" t="s">
        <v>51</v>
      </c>
      <c r="F755" s="47" t="s">
        <v>320</v>
      </c>
      <c r="G755" s="288">
        <v>2</v>
      </c>
      <c r="H755" s="288"/>
      <c r="I755" s="47"/>
      <c r="J755" s="48" t="s">
        <v>496</v>
      </c>
      <c r="K755" s="48" t="s">
        <v>28</v>
      </c>
      <c r="L755" s="47" t="s">
        <v>37</v>
      </c>
      <c r="M755" s="48" t="s">
        <v>513</v>
      </c>
      <c r="N755" s="453"/>
      <c r="O755" s="265">
        <v>0</v>
      </c>
      <c r="P755" s="266"/>
      <c r="Q755" s="267"/>
      <c r="R755" s="273">
        <f>G755*O755</f>
        <v>0</v>
      </c>
      <c r="S755" s="155"/>
      <c r="T755" s="269"/>
    </row>
    <row r="756" spans="1:20" s="61" customFormat="1" x14ac:dyDescent="0.25">
      <c r="A756" s="434"/>
      <c r="B756" s="433"/>
      <c r="C756" s="48"/>
      <c r="D756" s="47"/>
      <c r="E756" s="47"/>
      <c r="F756" s="47"/>
      <c r="G756" s="288"/>
      <c r="H756" s="288">
        <v>2</v>
      </c>
      <c r="I756" s="47"/>
      <c r="J756" s="48"/>
      <c r="K756" s="48"/>
      <c r="L756" s="47"/>
      <c r="M756" s="48"/>
      <c r="N756" s="455"/>
      <c r="O756" s="265"/>
      <c r="P756" s="266"/>
      <c r="Q756" s="267"/>
      <c r="R756" s="273"/>
      <c r="S756" s="155"/>
    </row>
    <row r="757" spans="1:20" s="61" customFormat="1" ht="25.5" x14ac:dyDescent="0.25">
      <c r="A757" s="526"/>
      <c r="B757" s="445" t="s">
        <v>383</v>
      </c>
      <c r="C757" s="48" t="s">
        <v>288</v>
      </c>
      <c r="D757" s="47" t="s">
        <v>36</v>
      </c>
      <c r="E757" s="47" t="s">
        <v>51</v>
      </c>
      <c r="F757" s="47" t="s">
        <v>320</v>
      </c>
      <c r="G757" s="166"/>
      <c r="H757" s="166">
        <v>2</v>
      </c>
      <c r="J757" s="377" t="s">
        <v>555</v>
      </c>
      <c r="K757" s="397" t="s">
        <v>82</v>
      </c>
      <c r="L757" s="56" t="s">
        <v>41</v>
      </c>
      <c r="M757" s="363" t="s">
        <v>552</v>
      </c>
      <c r="N757" s="534"/>
      <c r="O757" s="265">
        <v>0</v>
      </c>
      <c r="P757" s="266"/>
      <c r="Q757" s="267"/>
      <c r="R757" s="273">
        <v>0</v>
      </c>
      <c r="S757" s="155"/>
    </row>
    <row r="758" spans="1:20" s="61" customFormat="1" ht="13.5" customHeight="1" x14ac:dyDescent="0.25">
      <c r="A758" s="526"/>
      <c r="B758" s="432"/>
      <c r="C758" s="48"/>
      <c r="D758" s="47"/>
      <c r="E758" s="47"/>
      <c r="F758" s="47"/>
      <c r="H758" s="166"/>
      <c r="J758" s="151"/>
      <c r="K758" s="363"/>
      <c r="L758" s="56"/>
      <c r="M758" s="365"/>
      <c r="N758" s="544"/>
      <c r="O758" s="265"/>
      <c r="P758" s="266"/>
      <c r="Q758" s="267"/>
      <c r="R758" s="273"/>
      <c r="S758" s="155"/>
    </row>
    <row r="759" spans="1:20" s="61" customFormat="1" ht="15.75" customHeight="1" x14ac:dyDescent="0.25">
      <c r="A759" s="526"/>
      <c r="B759" s="433"/>
      <c r="C759" s="48"/>
      <c r="D759" s="47"/>
      <c r="E759" s="47"/>
      <c r="F759" s="47"/>
      <c r="G759" s="288"/>
      <c r="H759" s="288">
        <v>2</v>
      </c>
      <c r="I759" s="47"/>
      <c r="J759" s="48"/>
      <c r="K759" s="48"/>
      <c r="L759" s="47"/>
      <c r="M759" s="48"/>
      <c r="N759" s="535"/>
      <c r="O759" s="265"/>
      <c r="P759" s="266"/>
      <c r="Q759" s="267"/>
      <c r="R759" s="273"/>
      <c r="S759" s="155"/>
    </row>
    <row r="760" spans="1:20" s="61" customFormat="1" ht="15.75" customHeight="1" x14ac:dyDescent="0.25">
      <c r="A760" s="277"/>
      <c r="B760" s="289"/>
      <c r="C760" s="289"/>
      <c r="D760" s="290"/>
      <c r="E760" s="290"/>
      <c r="F760" s="290"/>
      <c r="G760" s="290">
        <f>SUM(G729:G757)</f>
        <v>24</v>
      </c>
      <c r="H760" s="290">
        <f>SUM(H729:H757)</f>
        <v>26</v>
      </c>
      <c r="I760" s="290"/>
      <c r="J760" s="289"/>
      <c r="K760" s="289"/>
      <c r="L760" s="290"/>
      <c r="M760" s="289"/>
      <c r="N760" s="291"/>
      <c r="O760" s="265"/>
      <c r="P760" s="291"/>
      <c r="Q760" s="277"/>
      <c r="R760" s="274"/>
      <c r="S760" s="277"/>
    </row>
    <row r="761" spans="1:20" s="61" customFormat="1" x14ac:dyDescent="0.25">
      <c r="A761" s="123"/>
      <c r="B761" s="161"/>
      <c r="C761" s="161"/>
      <c r="D761" s="148"/>
      <c r="E761" s="148"/>
      <c r="F761" s="148"/>
      <c r="G761" s="20"/>
      <c r="H761" s="162"/>
      <c r="I761" s="145"/>
      <c r="J761" s="128"/>
      <c r="K761" s="128"/>
      <c r="L761" s="145"/>
      <c r="M761" s="128"/>
      <c r="N761" s="159"/>
      <c r="O761" s="159"/>
      <c r="P761"/>
      <c r="Q761"/>
      <c r="R761" s="66"/>
      <c r="S761"/>
    </row>
    <row r="762" spans="1:20" ht="26.25" customHeight="1" x14ac:dyDescent="0.25">
      <c r="A762" s="123"/>
      <c r="B762" s="161"/>
      <c r="C762" s="161"/>
      <c r="D762" s="148"/>
      <c r="E762" s="148"/>
      <c r="F762" s="148"/>
      <c r="G762" s="20"/>
      <c r="H762" s="162"/>
      <c r="I762" s="145"/>
      <c r="J762" s="128"/>
      <c r="K762" s="128"/>
      <c r="L762" s="145"/>
      <c r="M762" s="128"/>
      <c r="N762" s="159"/>
      <c r="O762" s="159"/>
      <c r="R762" s="66"/>
    </row>
    <row r="763" spans="1:20" ht="26.25" customHeight="1" x14ac:dyDescent="0.25">
      <c r="A763" s="2"/>
      <c r="B763" s="317" t="s">
        <v>371</v>
      </c>
      <c r="C763" s="318"/>
      <c r="D763" s="319"/>
      <c r="E763" s="319"/>
      <c r="F763" s="319"/>
      <c r="G763" s="50"/>
      <c r="H763" s="2"/>
      <c r="I763" s="2"/>
      <c r="J763" s="5"/>
      <c r="K763" s="5"/>
      <c r="L763" s="2"/>
      <c r="M763" s="5"/>
      <c r="N763" s="58"/>
      <c r="O763" s="1"/>
      <c r="P763" s="1"/>
      <c r="R763" s="1"/>
    </row>
    <row r="764" spans="1:20" ht="26.25" customHeight="1" x14ac:dyDescent="0.25">
      <c r="A764" s="2"/>
      <c r="B764" s="51"/>
      <c r="C764" s="52"/>
      <c r="D764" s="2"/>
      <c r="E764" s="2"/>
      <c r="F764" s="2"/>
      <c r="G764" s="50"/>
      <c r="H764" s="2"/>
      <c r="I764" s="2"/>
      <c r="J764" s="5"/>
      <c r="K764" s="5"/>
      <c r="L764" s="2"/>
      <c r="M764" s="5"/>
      <c r="N764" s="58"/>
      <c r="O764" s="1"/>
      <c r="P764" s="1"/>
      <c r="R764" s="1"/>
    </row>
    <row r="765" spans="1:20" ht="26.25" customHeight="1" x14ac:dyDescent="0.25">
      <c r="A765" s="123"/>
      <c r="B765" s="161"/>
      <c r="C765" s="161"/>
      <c r="D765" s="148"/>
      <c r="E765" s="148"/>
      <c r="F765" s="148"/>
      <c r="G765" s="20"/>
      <c r="H765" s="162"/>
      <c r="I765" s="145"/>
      <c r="J765" s="128"/>
      <c r="K765" s="128"/>
      <c r="L765" s="145"/>
      <c r="M765" s="128"/>
      <c r="N765" s="159"/>
      <c r="O765" s="159"/>
      <c r="R765" s="66"/>
    </row>
    <row r="766" spans="1:20" ht="26.25" customHeight="1" thickBot="1" x14ac:dyDescent="0.3">
      <c r="A766" s="9" t="s">
        <v>1</v>
      </c>
      <c r="B766" s="504" t="s">
        <v>2</v>
      </c>
      <c r="C766" s="504" t="s">
        <v>182</v>
      </c>
      <c r="D766" s="476" t="s">
        <v>4</v>
      </c>
      <c r="E766" s="10" t="s">
        <v>66</v>
      </c>
      <c r="F766" s="10" t="s">
        <v>6</v>
      </c>
      <c r="G766" s="11"/>
      <c r="H766" s="12" t="s">
        <v>7</v>
      </c>
      <c r="I766" s="13"/>
      <c r="J766" s="504" t="s">
        <v>8</v>
      </c>
      <c r="K766" s="14" t="s">
        <v>9</v>
      </c>
      <c r="L766" s="10" t="s">
        <v>10</v>
      </c>
      <c r="M766" s="369" t="s">
        <v>11</v>
      </c>
      <c r="N766" s="59" t="s">
        <v>12</v>
      </c>
      <c r="O766" s="540" t="s">
        <v>13</v>
      </c>
      <c r="P766" s="541"/>
      <c r="Q766" s="63"/>
      <c r="R766" s="488" t="s">
        <v>201</v>
      </c>
      <c r="S766" s="489"/>
    </row>
    <row r="767" spans="1:20" ht="26.25" customHeight="1" x14ac:dyDescent="0.25">
      <c r="A767" s="15" t="s">
        <v>14</v>
      </c>
      <c r="B767" s="539"/>
      <c r="C767" s="487"/>
      <c r="D767" s="477"/>
      <c r="E767" s="15" t="s">
        <v>15</v>
      </c>
      <c r="F767" s="15" t="s">
        <v>16</v>
      </c>
      <c r="G767" s="15" t="s">
        <v>17</v>
      </c>
      <c r="H767" s="15" t="s">
        <v>18</v>
      </c>
      <c r="I767" s="15" t="s">
        <v>19</v>
      </c>
      <c r="J767" s="499"/>
      <c r="K767" s="16"/>
      <c r="L767" s="17"/>
      <c r="M767" s="370" t="s">
        <v>20</v>
      </c>
      <c r="N767" s="60" t="s">
        <v>21</v>
      </c>
      <c r="O767" s="15" t="s">
        <v>17</v>
      </c>
      <c r="P767" s="15" t="s">
        <v>18</v>
      </c>
      <c r="Q767" s="15" t="s">
        <v>19</v>
      </c>
      <c r="R767" s="15" t="s">
        <v>17</v>
      </c>
      <c r="S767" s="15" t="s">
        <v>18</v>
      </c>
    </row>
    <row r="768" spans="1:20" s="164" customFormat="1" ht="68.25" customHeight="1" x14ac:dyDescent="0.25">
      <c r="A768" s="166">
        <v>1</v>
      </c>
      <c r="B768" s="167" t="s">
        <v>357</v>
      </c>
      <c r="C768" s="127" t="s">
        <v>373</v>
      </c>
      <c r="D768" s="166">
        <v>6</v>
      </c>
      <c r="E768" s="166" t="s">
        <v>25</v>
      </c>
      <c r="F768" s="166" t="s">
        <v>321</v>
      </c>
      <c r="G768" s="166"/>
      <c r="H768" s="166"/>
      <c r="I768" s="166"/>
      <c r="J768" s="147" t="s">
        <v>516</v>
      </c>
      <c r="K768" s="147" t="s">
        <v>358</v>
      </c>
      <c r="L768" s="127"/>
      <c r="M768" s="127" t="s">
        <v>359</v>
      </c>
      <c r="N768" s="165"/>
      <c r="O768" s="165"/>
      <c r="P768" s="163"/>
      <c r="Q768" s="335"/>
      <c r="R768" s="336"/>
      <c r="S768" s="336"/>
    </row>
    <row r="769" spans="1:22" s="164" customFormat="1" ht="44.25" customHeight="1" x14ac:dyDescent="0.25">
      <c r="A769" s="166">
        <v>2</v>
      </c>
      <c r="B769" s="168" t="s">
        <v>360</v>
      </c>
      <c r="C769" s="127" t="s">
        <v>373</v>
      </c>
      <c r="D769" s="166">
        <v>6</v>
      </c>
      <c r="E769" s="166" t="s">
        <v>25</v>
      </c>
      <c r="F769" s="166" t="s">
        <v>321</v>
      </c>
      <c r="G769" s="166"/>
      <c r="H769" s="166"/>
      <c r="I769" s="166"/>
      <c r="J769" s="127" t="s">
        <v>404</v>
      </c>
      <c r="K769" s="127" t="s">
        <v>519</v>
      </c>
      <c r="L769" s="127"/>
      <c r="M769" s="127" t="s">
        <v>361</v>
      </c>
      <c r="N769" s="165"/>
      <c r="O769" s="165"/>
      <c r="P769" s="163"/>
      <c r="Q769" s="335"/>
      <c r="R769" s="336"/>
      <c r="S769" s="336"/>
    </row>
    <row r="770" spans="1:22" s="164" customFormat="1" ht="47.25" customHeight="1" x14ac:dyDescent="0.25">
      <c r="A770" s="166">
        <v>3</v>
      </c>
      <c r="B770" s="169" t="s">
        <v>362</v>
      </c>
      <c r="C770" s="127" t="s">
        <v>373</v>
      </c>
      <c r="D770" s="166">
        <v>6</v>
      </c>
      <c r="E770" s="166" t="s">
        <v>51</v>
      </c>
      <c r="F770" s="166" t="s">
        <v>319</v>
      </c>
      <c r="G770" s="166"/>
      <c r="H770" s="166"/>
      <c r="I770" s="166"/>
      <c r="J770" s="127" t="s">
        <v>549</v>
      </c>
      <c r="K770" s="127" t="s">
        <v>406</v>
      </c>
      <c r="L770" s="127"/>
      <c r="M770" s="127" t="s">
        <v>361</v>
      </c>
      <c r="N770" s="165"/>
      <c r="O770" s="165"/>
      <c r="P770" s="163"/>
      <c r="Q770" s="335"/>
      <c r="R770" s="336"/>
      <c r="S770" s="336"/>
    </row>
    <row r="771" spans="1:22" s="164" customFormat="1" ht="153.75" x14ac:dyDescent="0.25">
      <c r="A771" s="210">
        <v>4</v>
      </c>
      <c r="B771" s="180" t="s">
        <v>390</v>
      </c>
      <c r="C771" s="127" t="s">
        <v>373</v>
      </c>
      <c r="D771" s="166">
        <v>6</v>
      </c>
      <c r="E771" s="166" t="s">
        <v>51</v>
      </c>
      <c r="F771" s="166" t="s">
        <v>320</v>
      </c>
      <c r="G771" s="472"/>
      <c r="H771" s="472"/>
      <c r="I771" s="472"/>
      <c r="J771" s="153" t="s">
        <v>572</v>
      </c>
      <c r="K771" s="127" t="s">
        <v>521</v>
      </c>
      <c r="L771" s="127"/>
      <c r="M771" s="147" t="s">
        <v>571</v>
      </c>
      <c r="N771" s="165"/>
      <c r="O771" s="165"/>
      <c r="P771" s="163"/>
      <c r="Q771" s="335"/>
      <c r="R771" s="336"/>
      <c r="S771" s="336"/>
    </row>
    <row r="772" spans="1:22" s="164" customFormat="1" ht="51.75" x14ac:dyDescent="0.25">
      <c r="A772" s="211">
        <v>5</v>
      </c>
      <c r="B772" s="180" t="s">
        <v>389</v>
      </c>
      <c r="C772" s="127" t="s">
        <v>373</v>
      </c>
      <c r="D772" s="357">
        <v>7</v>
      </c>
      <c r="E772" s="166" t="s">
        <v>25</v>
      </c>
      <c r="F772" s="166" t="s">
        <v>320</v>
      </c>
      <c r="G772" s="468"/>
      <c r="H772" s="468"/>
      <c r="I772" s="468"/>
      <c r="J772" s="153" t="s">
        <v>550</v>
      </c>
      <c r="K772" s="153" t="s">
        <v>28</v>
      </c>
      <c r="L772" s="127"/>
      <c r="M772" s="127" t="s">
        <v>520</v>
      </c>
      <c r="N772" s="165"/>
      <c r="O772" s="165"/>
      <c r="P772" s="163"/>
      <c r="Q772" s="335"/>
      <c r="R772" s="336"/>
      <c r="S772" s="336"/>
    </row>
    <row r="773" spans="1:22" s="164" customFormat="1" ht="141" x14ac:dyDescent="0.25">
      <c r="A773" s="211">
        <v>6</v>
      </c>
      <c r="B773" s="180" t="s">
        <v>391</v>
      </c>
      <c r="C773" s="127" t="s">
        <v>373</v>
      </c>
      <c r="D773" s="357">
        <v>7</v>
      </c>
      <c r="E773" s="166" t="s">
        <v>25</v>
      </c>
      <c r="F773" s="166" t="s">
        <v>320</v>
      </c>
      <c r="G773" s="469"/>
      <c r="H773" s="469"/>
      <c r="I773" s="469"/>
      <c r="J773" s="153" t="s">
        <v>569</v>
      </c>
      <c r="K773" s="127" t="s">
        <v>521</v>
      </c>
      <c r="L773" s="127"/>
      <c r="M773" s="127" t="s">
        <v>570</v>
      </c>
      <c r="N773" s="165"/>
      <c r="O773" s="165"/>
      <c r="P773" s="163"/>
      <c r="Q773" s="335"/>
      <c r="R773" s="336"/>
      <c r="S773" s="336"/>
    </row>
    <row r="774" spans="1:22" s="164" customFormat="1" ht="59.25" customHeight="1" thickBot="1" x14ac:dyDescent="0.3">
      <c r="A774" s="212">
        <v>4</v>
      </c>
      <c r="B774" s="170" t="s">
        <v>363</v>
      </c>
      <c r="C774" s="127" t="s">
        <v>373</v>
      </c>
      <c r="D774" s="166">
        <v>6</v>
      </c>
      <c r="E774" s="166" t="s">
        <v>51</v>
      </c>
      <c r="F774" s="166" t="s">
        <v>320</v>
      </c>
      <c r="G774" s="166"/>
      <c r="H774" s="166"/>
      <c r="I774" s="166"/>
      <c r="J774" s="430" t="s">
        <v>587</v>
      </c>
      <c r="K774" s="430" t="s">
        <v>588</v>
      </c>
      <c r="L774" s="127"/>
      <c r="M774" s="127" t="s">
        <v>392</v>
      </c>
      <c r="N774" s="165"/>
      <c r="O774" s="165"/>
      <c r="P774" s="163"/>
      <c r="Q774" s="335"/>
      <c r="R774" s="336"/>
      <c r="S774" s="336"/>
    </row>
    <row r="775" spans="1:22" s="164" customFormat="1" ht="66.75" customHeight="1" thickBot="1" x14ac:dyDescent="0.3">
      <c r="A775" s="212">
        <v>5</v>
      </c>
      <c r="B775" s="171" t="s">
        <v>365</v>
      </c>
      <c r="C775" s="127" t="s">
        <v>373</v>
      </c>
      <c r="D775" s="166">
        <v>7</v>
      </c>
      <c r="E775" s="166">
        <v>3</v>
      </c>
      <c r="F775" s="166" t="s">
        <v>320</v>
      </c>
      <c r="G775" s="166"/>
      <c r="H775" s="166"/>
      <c r="I775" s="166"/>
      <c r="J775" s="126" t="s">
        <v>556</v>
      </c>
      <c r="K775" s="127" t="s">
        <v>557</v>
      </c>
      <c r="L775" s="153"/>
      <c r="M775" s="153" t="s">
        <v>558</v>
      </c>
      <c r="N775" s="165"/>
      <c r="O775" s="165"/>
      <c r="P775" s="163"/>
      <c r="Q775" s="335"/>
      <c r="R775" s="336"/>
      <c r="S775" s="336"/>
    </row>
    <row r="776" spans="1:22" s="164" customFormat="1" ht="81" customHeight="1" thickBot="1" x14ac:dyDescent="0.3">
      <c r="A776" s="212">
        <v>6</v>
      </c>
      <c r="B776" s="172" t="s">
        <v>366</v>
      </c>
      <c r="C776" s="127" t="s">
        <v>373</v>
      </c>
      <c r="D776" s="166">
        <v>7</v>
      </c>
      <c r="E776" s="166">
        <v>3</v>
      </c>
      <c r="F776" s="166" t="s">
        <v>320</v>
      </c>
      <c r="G776" s="166"/>
      <c r="H776" s="166"/>
      <c r="I776" s="166"/>
      <c r="J776" s="127" t="s">
        <v>559</v>
      </c>
      <c r="K776" s="127" t="s">
        <v>560</v>
      </c>
      <c r="L776" s="127"/>
      <c r="M776" s="347" t="s">
        <v>561</v>
      </c>
      <c r="N776" s="165"/>
      <c r="O776" s="165"/>
      <c r="P776" s="163"/>
      <c r="Q776" s="335"/>
      <c r="R776" s="336"/>
      <c r="S776" s="336"/>
    </row>
    <row r="777" spans="1:22" s="164" customFormat="1" ht="65.25" thickBot="1" x14ac:dyDescent="0.3">
      <c r="A777" s="213">
        <v>4</v>
      </c>
      <c r="B777" s="170" t="s">
        <v>364</v>
      </c>
      <c r="C777" s="127" t="s">
        <v>373</v>
      </c>
      <c r="D777" s="166">
        <v>6</v>
      </c>
      <c r="E777" s="166" t="s">
        <v>51</v>
      </c>
      <c r="F777" s="166" t="s">
        <v>320</v>
      </c>
      <c r="G777" s="166"/>
      <c r="H777" s="166"/>
      <c r="I777" s="166"/>
      <c r="J777" s="127" t="s">
        <v>372</v>
      </c>
      <c r="K777" s="127" t="s">
        <v>521</v>
      </c>
      <c r="L777" s="127"/>
      <c r="M777" s="127" t="s">
        <v>361</v>
      </c>
      <c r="N777" s="165"/>
      <c r="O777" s="165"/>
      <c r="P777" s="163"/>
      <c r="Q777" s="335"/>
      <c r="R777" s="336"/>
      <c r="S777" s="336"/>
    </row>
    <row r="778" spans="1:22" s="164" customFormat="1" ht="79.5" customHeight="1" thickBot="1" x14ac:dyDescent="0.3">
      <c r="A778" s="213">
        <v>5</v>
      </c>
      <c r="B778" s="171" t="s">
        <v>367</v>
      </c>
      <c r="C778" s="127" t="s">
        <v>373</v>
      </c>
      <c r="D778" s="166">
        <v>7</v>
      </c>
      <c r="E778" s="166">
        <v>3</v>
      </c>
      <c r="F778" s="166" t="s">
        <v>319</v>
      </c>
      <c r="G778" s="166"/>
      <c r="H778" s="166"/>
      <c r="I778" s="166"/>
      <c r="J778" s="127" t="s">
        <v>574</v>
      </c>
      <c r="K778" s="127" t="s">
        <v>575</v>
      </c>
      <c r="L778" s="127"/>
      <c r="M778" s="127" t="s">
        <v>576</v>
      </c>
      <c r="N778" s="165"/>
      <c r="O778" s="165"/>
      <c r="P778" s="163"/>
      <c r="Q778" s="335" t="s">
        <v>199</v>
      </c>
      <c r="R778" s="336"/>
      <c r="S778" s="336"/>
    </row>
    <row r="779" spans="1:22" s="164" customFormat="1" ht="65.25" customHeight="1" x14ac:dyDescent="0.25">
      <c r="A779" s="213">
        <v>6</v>
      </c>
      <c r="B779" s="178" t="s">
        <v>368</v>
      </c>
      <c r="C779" s="127" t="s">
        <v>373</v>
      </c>
      <c r="D779" s="166">
        <v>7</v>
      </c>
      <c r="E779" s="166">
        <v>3</v>
      </c>
      <c r="F779" s="166" t="s">
        <v>319</v>
      </c>
      <c r="G779" s="166"/>
      <c r="H779" s="166"/>
      <c r="I779" s="166"/>
      <c r="J779" s="127" t="s">
        <v>374</v>
      </c>
      <c r="K779" s="127" t="s">
        <v>369</v>
      </c>
      <c r="L779" s="127"/>
      <c r="M779" s="127" t="s">
        <v>370</v>
      </c>
      <c r="N779" s="165"/>
      <c r="O779" s="165"/>
      <c r="P779" s="163"/>
      <c r="Q779" s="335"/>
      <c r="R779" s="336"/>
      <c r="S779" s="336"/>
    </row>
    <row r="780" spans="1:22" s="164" customFormat="1" ht="65.25" customHeight="1" x14ac:dyDescent="0.25">
      <c r="A780" s="213"/>
      <c r="B780" s="178" t="s">
        <v>522</v>
      </c>
      <c r="C780" s="127" t="s">
        <v>373</v>
      </c>
      <c r="D780" s="166">
        <v>7</v>
      </c>
      <c r="E780" s="166" t="s">
        <v>51</v>
      </c>
      <c r="F780" s="166" t="s">
        <v>320</v>
      </c>
      <c r="G780" s="166"/>
      <c r="H780" s="166"/>
      <c r="I780" s="166"/>
      <c r="J780" s="430" t="s">
        <v>585</v>
      </c>
      <c r="K780" s="430" t="s">
        <v>586</v>
      </c>
      <c r="L780" s="127"/>
      <c r="M780" s="430" t="s">
        <v>523</v>
      </c>
      <c r="N780" s="165"/>
      <c r="O780" s="165"/>
      <c r="P780" s="163"/>
      <c r="Q780" s="335"/>
      <c r="R780" s="336"/>
      <c r="S780" s="336"/>
    </row>
    <row r="781" spans="1:22" s="164" customFormat="1" ht="65.25" customHeight="1" x14ac:dyDescent="0.25">
      <c r="A781" s="213"/>
      <c r="B781" s="178" t="s">
        <v>524</v>
      </c>
      <c r="C781" s="127" t="s">
        <v>373</v>
      </c>
      <c r="D781" s="166">
        <v>7</v>
      </c>
      <c r="E781" s="166" t="s">
        <v>51</v>
      </c>
      <c r="F781" s="166" t="s">
        <v>320</v>
      </c>
      <c r="G781" s="166"/>
      <c r="H781" s="166"/>
      <c r="I781" s="166"/>
      <c r="J781" s="127" t="s">
        <v>526</v>
      </c>
      <c r="K781" s="127" t="s">
        <v>565</v>
      </c>
      <c r="L781" s="127"/>
      <c r="M781" s="127" t="s">
        <v>523</v>
      </c>
      <c r="N781" s="165"/>
      <c r="O781" s="165"/>
      <c r="P781" s="163"/>
      <c r="Q781" s="335"/>
      <c r="R781" s="336"/>
      <c r="S781" s="336"/>
      <c r="V781" s="338"/>
    </row>
    <row r="782" spans="1:22" s="164" customFormat="1" ht="65.25" customHeight="1" x14ac:dyDescent="0.25">
      <c r="A782" s="213">
        <v>7</v>
      </c>
      <c r="B782" s="178" t="s">
        <v>525</v>
      </c>
      <c r="C782" s="127" t="s">
        <v>373</v>
      </c>
      <c r="D782" s="166">
        <v>7</v>
      </c>
      <c r="E782" s="166" t="s">
        <v>51</v>
      </c>
      <c r="F782" s="166" t="s">
        <v>320</v>
      </c>
      <c r="G782" s="166"/>
      <c r="H782" s="166"/>
      <c r="I782" s="166"/>
      <c r="J782" s="153" t="s">
        <v>572</v>
      </c>
      <c r="K782" s="127" t="s">
        <v>521</v>
      </c>
      <c r="L782" s="127"/>
      <c r="M782" s="337" t="s">
        <v>573</v>
      </c>
      <c r="N782" s="165"/>
      <c r="O782" s="165"/>
      <c r="P782" s="163"/>
      <c r="Q782" s="335"/>
      <c r="R782" s="336"/>
      <c r="S782" s="336"/>
    </row>
    <row r="783" spans="1:22" s="164" customFormat="1" ht="73.5" customHeight="1" x14ac:dyDescent="0.25">
      <c r="A783" s="173"/>
      <c r="B783" s="174"/>
      <c r="C783" s="146"/>
      <c r="D783" s="173"/>
      <c r="E783" s="173"/>
      <c r="F783" s="173"/>
      <c r="G783" s="173"/>
      <c r="H783" s="173"/>
      <c r="I783" s="173"/>
      <c r="J783" s="160"/>
      <c r="K783" s="146"/>
      <c r="L783" s="146"/>
      <c r="M783" s="353"/>
      <c r="N783" s="175"/>
      <c r="O783" s="175"/>
      <c r="Q783" s="176"/>
    </row>
    <row r="784" spans="1:22" x14ac:dyDescent="0.25">
      <c r="A784" s="40"/>
      <c r="B784" s="41" t="s">
        <v>62</v>
      </c>
      <c r="C784" s="29"/>
      <c r="K784"/>
      <c r="L784" s="207" t="s">
        <v>63</v>
      </c>
      <c r="M784" s="207"/>
      <c r="N784" s="207"/>
      <c r="P784" s="207"/>
      <c r="Q784" s="207"/>
      <c r="R784" s="66"/>
    </row>
    <row r="785" spans="1:18" x14ac:dyDescent="0.25">
      <c r="A785" s="40"/>
      <c r="B785" s="42"/>
      <c r="C785" s="29"/>
      <c r="J785" s="41" t="s">
        <v>64</v>
      </c>
      <c r="K785"/>
      <c r="L785" s="40"/>
      <c r="M785" s="40"/>
      <c r="O785" s="207"/>
      <c r="Q785" s="40"/>
      <c r="R785" s="66"/>
    </row>
    <row r="786" spans="1:18" x14ac:dyDescent="0.25">
      <c r="A786" s="40"/>
      <c r="B786" s="43"/>
      <c r="C786" s="29"/>
      <c r="K786" s="339"/>
      <c r="L786" s="44"/>
      <c r="M786" s="44"/>
      <c r="Q786" s="40"/>
      <c r="R786" s="66"/>
    </row>
    <row r="787" spans="1:18" x14ac:dyDescent="0.25">
      <c r="K787"/>
      <c r="R787" s="66"/>
    </row>
    <row r="788" spans="1:18" x14ac:dyDescent="0.25">
      <c r="R788" s="66"/>
    </row>
    <row r="789" spans="1:18" x14ac:dyDescent="0.25">
      <c r="R789" s="66"/>
    </row>
    <row r="790" spans="1:18" x14ac:dyDescent="0.25">
      <c r="R790" s="66"/>
    </row>
    <row r="791" spans="1:18" x14ac:dyDescent="0.25">
      <c r="R791" s="66"/>
    </row>
    <row r="792" spans="1:18" x14ac:dyDescent="0.25">
      <c r="R792" s="66"/>
    </row>
    <row r="793" spans="1:18" x14ac:dyDescent="0.25">
      <c r="B793"/>
      <c r="C793"/>
      <c r="L793"/>
      <c r="R793" s="66"/>
    </row>
    <row r="794" spans="1:18" x14ac:dyDescent="0.25">
      <c r="B794"/>
      <c r="C794"/>
      <c r="L794"/>
      <c r="R794" s="66"/>
    </row>
    <row r="795" spans="1:18" x14ac:dyDescent="0.25">
      <c r="B795"/>
      <c r="C795"/>
      <c r="L795"/>
      <c r="R795" s="66"/>
    </row>
    <row r="796" spans="1:18" x14ac:dyDescent="0.25">
      <c r="B796"/>
      <c r="C796"/>
      <c r="L796"/>
      <c r="R796" s="66"/>
    </row>
    <row r="797" spans="1:18" x14ac:dyDescent="0.25">
      <c r="B797"/>
      <c r="C797"/>
      <c r="L797"/>
      <c r="R797" s="66"/>
    </row>
    <row r="798" spans="1:18" x14ac:dyDescent="0.25">
      <c r="B798"/>
      <c r="C798"/>
      <c r="L798"/>
      <c r="R798" s="66"/>
    </row>
    <row r="799" spans="1:18" x14ac:dyDescent="0.25">
      <c r="B799"/>
      <c r="C799"/>
      <c r="L799"/>
      <c r="R799" s="66"/>
    </row>
    <row r="800" spans="1:18" x14ac:dyDescent="0.25">
      <c r="B800"/>
      <c r="C800"/>
      <c r="L800"/>
      <c r="R800" s="66"/>
    </row>
    <row r="801" spans="2:18" x14ac:dyDescent="0.25">
      <c r="B801"/>
      <c r="C801"/>
      <c r="L801"/>
      <c r="R801" s="66"/>
    </row>
    <row r="802" spans="2:18" x14ac:dyDescent="0.25">
      <c r="B802"/>
      <c r="C802"/>
      <c r="L802"/>
      <c r="R802" s="66"/>
    </row>
    <row r="803" spans="2:18" x14ac:dyDescent="0.25">
      <c r="B803"/>
      <c r="C803"/>
      <c r="L803"/>
      <c r="R803" s="66"/>
    </row>
    <row r="804" spans="2:18" x14ac:dyDescent="0.25">
      <c r="B804"/>
      <c r="C804"/>
      <c r="L804"/>
      <c r="R804" s="66"/>
    </row>
    <row r="805" spans="2:18" x14ac:dyDescent="0.25">
      <c r="B805"/>
      <c r="C805"/>
      <c r="L805"/>
      <c r="R805" s="66"/>
    </row>
    <row r="806" spans="2:18" x14ac:dyDescent="0.25">
      <c r="B806"/>
      <c r="C806"/>
      <c r="L806"/>
      <c r="R806" s="66"/>
    </row>
    <row r="807" spans="2:18" x14ac:dyDescent="0.25">
      <c r="B807"/>
      <c r="C807"/>
      <c r="L807"/>
      <c r="R807" s="66"/>
    </row>
    <row r="808" spans="2:18" x14ac:dyDescent="0.25">
      <c r="B808"/>
      <c r="C808"/>
      <c r="L808"/>
      <c r="R808" s="66"/>
    </row>
    <row r="809" spans="2:18" x14ac:dyDescent="0.25">
      <c r="B809"/>
      <c r="C809"/>
      <c r="L809"/>
      <c r="R809" s="66"/>
    </row>
    <row r="810" spans="2:18" x14ac:dyDescent="0.25">
      <c r="B810"/>
      <c r="C810"/>
      <c r="L810"/>
      <c r="R810" s="66"/>
    </row>
    <row r="811" spans="2:18" x14ac:dyDescent="0.25">
      <c r="B811"/>
      <c r="C811"/>
      <c r="L811"/>
      <c r="R811" s="66"/>
    </row>
    <row r="812" spans="2:18" x14ac:dyDescent="0.25">
      <c r="B812"/>
      <c r="C812"/>
      <c r="L812"/>
      <c r="R812" s="66"/>
    </row>
    <row r="813" spans="2:18" x14ac:dyDescent="0.25">
      <c r="B813"/>
      <c r="C813"/>
      <c r="L813"/>
      <c r="R813" s="66"/>
    </row>
    <row r="814" spans="2:18" x14ac:dyDescent="0.25">
      <c r="B814"/>
      <c r="C814"/>
      <c r="L814"/>
      <c r="R814" s="66"/>
    </row>
    <row r="815" spans="2:18" x14ac:dyDescent="0.25">
      <c r="B815"/>
      <c r="C815"/>
      <c r="L815"/>
      <c r="R815" s="66"/>
    </row>
    <row r="816" spans="2:18" x14ac:dyDescent="0.25">
      <c r="B816"/>
      <c r="C816"/>
      <c r="L816"/>
      <c r="R816" s="66"/>
    </row>
    <row r="817" spans="2:18" x14ac:dyDescent="0.25">
      <c r="B817"/>
      <c r="C817"/>
      <c r="L817"/>
      <c r="R817" s="66"/>
    </row>
    <row r="818" spans="2:18" x14ac:dyDescent="0.25">
      <c r="B818"/>
      <c r="C818"/>
      <c r="L818"/>
      <c r="R818" s="66"/>
    </row>
    <row r="819" spans="2:18" x14ac:dyDescent="0.25">
      <c r="B819"/>
      <c r="C819"/>
      <c r="L819"/>
      <c r="R819" s="66"/>
    </row>
    <row r="820" spans="2:18" x14ac:dyDescent="0.25">
      <c r="B820"/>
      <c r="C820"/>
      <c r="L820"/>
      <c r="R820" s="66"/>
    </row>
    <row r="821" spans="2:18" x14ac:dyDescent="0.25">
      <c r="B821"/>
      <c r="C821"/>
      <c r="L821"/>
      <c r="R821" s="66"/>
    </row>
    <row r="822" spans="2:18" x14ac:dyDescent="0.25">
      <c r="B822"/>
      <c r="C822"/>
      <c r="L822"/>
      <c r="R822" s="66"/>
    </row>
    <row r="823" spans="2:18" x14ac:dyDescent="0.25">
      <c r="B823"/>
      <c r="C823"/>
      <c r="L823"/>
      <c r="R823" s="66"/>
    </row>
    <row r="824" spans="2:18" x14ac:dyDescent="0.25">
      <c r="B824"/>
      <c r="C824"/>
      <c r="L824"/>
      <c r="R824" s="66"/>
    </row>
    <row r="825" spans="2:18" x14ac:dyDescent="0.25">
      <c r="B825"/>
      <c r="C825"/>
      <c r="L825"/>
      <c r="R825" s="66"/>
    </row>
    <row r="826" spans="2:18" x14ac:dyDescent="0.25">
      <c r="B826"/>
      <c r="C826"/>
      <c r="L826"/>
      <c r="R826" s="66"/>
    </row>
    <row r="827" spans="2:18" x14ac:dyDescent="0.25">
      <c r="B827"/>
      <c r="C827"/>
      <c r="L827"/>
      <c r="R827" s="66"/>
    </row>
    <row r="828" spans="2:18" x14ac:dyDescent="0.25">
      <c r="B828"/>
      <c r="C828"/>
      <c r="L828"/>
      <c r="R828" s="66"/>
    </row>
    <row r="829" spans="2:18" x14ac:dyDescent="0.25">
      <c r="B829"/>
      <c r="C829"/>
      <c r="L829"/>
      <c r="R829" s="66"/>
    </row>
    <row r="830" spans="2:18" x14ac:dyDescent="0.25">
      <c r="B830"/>
      <c r="C830"/>
      <c r="L830"/>
      <c r="R830" s="66"/>
    </row>
    <row r="831" spans="2:18" x14ac:dyDescent="0.25">
      <c r="B831"/>
      <c r="C831"/>
      <c r="L831"/>
      <c r="R831" s="66"/>
    </row>
    <row r="842" spans="2:19" x14ac:dyDescent="0.25">
      <c r="B842"/>
      <c r="C842"/>
      <c r="L842"/>
      <c r="R842" s="525"/>
      <c r="S842" s="525"/>
    </row>
    <row r="843" spans="2:19" x14ac:dyDescent="0.25">
      <c r="B843"/>
      <c r="C843"/>
      <c r="L843"/>
      <c r="R843" s="71"/>
      <c r="S843" s="71"/>
    </row>
    <row r="844" spans="2:19" x14ac:dyDescent="0.25">
      <c r="B844"/>
      <c r="C844"/>
      <c r="L844"/>
      <c r="R844" s="66"/>
    </row>
    <row r="845" spans="2:19" x14ac:dyDescent="0.25">
      <c r="B845"/>
      <c r="C845"/>
      <c r="L845"/>
      <c r="R845" s="66"/>
    </row>
    <row r="846" spans="2:19" x14ac:dyDescent="0.25">
      <c r="B846"/>
      <c r="C846"/>
      <c r="L846"/>
      <c r="R846" s="66"/>
    </row>
    <row r="847" spans="2:19" x14ac:dyDescent="0.25">
      <c r="B847"/>
      <c r="C847"/>
      <c r="L847"/>
      <c r="R847" s="66"/>
    </row>
    <row r="848" spans="2:19" x14ac:dyDescent="0.25">
      <c r="B848"/>
      <c r="C848"/>
      <c r="L848"/>
      <c r="R848" s="66"/>
    </row>
    <row r="849" spans="2:18" x14ac:dyDescent="0.25">
      <c r="B849"/>
      <c r="C849"/>
      <c r="L849"/>
      <c r="R849" s="66"/>
    </row>
    <row r="850" spans="2:18" x14ac:dyDescent="0.25">
      <c r="B850"/>
      <c r="C850"/>
      <c r="L850"/>
      <c r="R850" s="66"/>
    </row>
    <row r="851" spans="2:18" x14ac:dyDescent="0.25">
      <c r="B851"/>
      <c r="C851"/>
      <c r="L851"/>
      <c r="R851" s="66"/>
    </row>
    <row r="852" spans="2:18" x14ac:dyDescent="0.25">
      <c r="B852"/>
      <c r="C852"/>
      <c r="L852"/>
      <c r="R852" s="66"/>
    </row>
    <row r="853" spans="2:18" x14ac:dyDescent="0.25">
      <c r="B853"/>
      <c r="C853"/>
      <c r="L853"/>
      <c r="R853" s="66"/>
    </row>
    <row r="854" spans="2:18" x14ac:dyDescent="0.25">
      <c r="B854"/>
      <c r="C854"/>
      <c r="L854"/>
      <c r="R854" s="66"/>
    </row>
    <row r="855" spans="2:18" x14ac:dyDescent="0.25">
      <c r="B855"/>
      <c r="C855"/>
      <c r="L855"/>
      <c r="R855" s="66"/>
    </row>
    <row r="856" spans="2:18" x14ac:dyDescent="0.25">
      <c r="B856"/>
      <c r="C856"/>
      <c r="L856"/>
      <c r="R856" s="66"/>
    </row>
    <row r="857" spans="2:18" x14ac:dyDescent="0.25">
      <c r="B857"/>
      <c r="C857"/>
      <c r="L857"/>
      <c r="R857" s="66"/>
    </row>
    <row r="858" spans="2:18" x14ac:dyDescent="0.25">
      <c r="B858"/>
      <c r="C858"/>
      <c r="L858"/>
      <c r="R858" s="66"/>
    </row>
    <row r="859" spans="2:18" x14ac:dyDescent="0.25">
      <c r="B859"/>
      <c r="C859"/>
      <c r="L859"/>
      <c r="R859" s="66"/>
    </row>
    <row r="860" spans="2:18" x14ac:dyDescent="0.25">
      <c r="B860"/>
      <c r="C860"/>
      <c r="L860"/>
      <c r="R860" s="66"/>
    </row>
    <row r="861" spans="2:18" x14ac:dyDescent="0.25">
      <c r="B861"/>
      <c r="C861"/>
      <c r="L861"/>
      <c r="R861" s="66"/>
    </row>
    <row r="862" spans="2:18" x14ac:dyDescent="0.25">
      <c r="B862"/>
      <c r="C862"/>
      <c r="L862"/>
      <c r="R862" s="66"/>
    </row>
    <row r="863" spans="2:18" x14ac:dyDescent="0.25">
      <c r="B863"/>
      <c r="C863"/>
      <c r="L863"/>
      <c r="R863" s="66"/>
    </row>
    <row r="864" spans="2:18" x14ac:dyDescent="0.25">
      <c r="B864"/>
      <c r="C864"/>
      <c r="L864"/>
      <c r="R864" s="66"/>
    </row>
    <row r="865" spans="2:18" x14ac:dyDescent="0.25">
      <c r="B865"/>
      <c r="C865"/>
      <c r="L865"/>
      <c r="R865" s="66"/>
    </row>
    <row r="866" spans="2:18" x14ac:dyDescent="0.25">
      <c r="B866"/>
      <c r="C866"/>
      <c r="L866"/>
      <c r="R866" s="66"/>
    </row>
    <row r="867" spans="2:18" x14ac:dyDescent="0.25">
      <c r="B867"/>
      <c r="C867"/>
      <c r="L867"/>
      <c r="R867" s="66"/>
    </row>
    <row r="868" spans="2:18" x14ac:dyDescent="0.25">
      <c r="B868"/>
      <c r="C868"/>
      <c r="L868"/>
      <c r="R868" s="66"/>
    </row>
    <row r="869" spans="2:18" x14ac:dyDescent="0.25">
      <c r="B869"/>
      <c r="C869"/>
      <c r="L869"/>
      <c r="R869" s="66"/>
    </row>
    <row r="870" spans="2:18" x14ac:dyDescent="0.25">
      <c r="B870"/>
      <c r="C870"/>
      <c r="L870"/>
      <c r="R870" s="66"/>
    </row>
    <row r="871" spans="2:18" x14ac:dyDescent="0.25">
      <c r="B871"/>
      <c r="C871"/>
      <c r="L871"/>
      <c r="R871" s="66"/>
    </row>
    <row r="872" spans="2:18" x14ac:dyDescent="0.25">
      <c r="B872"/>
      <c r="C872"/>
      <c r="L872"/>
      <c r="R872" s="66"/>
    </row>
    <row r="873" spans="2:18" x14ac:dyDescent="0.25">
      <c r="B873"/>
      <c r="C873"/>
      <c r="L873"/>
      <c r="R873" s="66"/>
    </row>
    <row r="874" spans="2:18" x14ac:dyDescent="0.25">
      <c r="B874"/>
      <c r="C874"/>
      <c r="L874"/>
      <c r="R874" s="66"/>
    </row>
    <row r="875" spans="2:18" x14ac:dyDescent="0.25">
      <c r="B875"/>
      <c r="C875"/>
      <c r="L875"/>
      <c r="R875" s="66"/>
    </row>
    <row r="876" spans="2:18" x14ac:dyDescent="0.25">
      <c r="B876"/>
      <c r="C876"/>
      <c r="L876"/>
      <c r="R876" s="66"/>
    </row>
    <row r="877" spans="2:18" x14ac:dyDescent="0.25">
      <c r="B877"/>
      <c r="C877"/>
      <c r="L877"/>
      <c r="R877" s="66"/>
    </row>
    <row r="878" spans="2:18" x14ac:dyDescent="0.25">
      <c r="B878"/>
      <c r="C878"/>
      <c r="L878"/>
      <c r="R878" s="66"/>
    </row>
    <row r="879" spans="2:18" x14ac:dyDescent="0.25">
      <c r="B879"/>
      <c r="C879"/>
      <c r="L879"/>
      <c r="R879" s="66"/>
    </row>
    <row r="880" spans="2:18" x14ac:dyDescent="0.25">
      <c r="B880"/>
      <c r="C880"/>
      <c r="L880"/>
      <c r="R880" s="66"/>
    </row>
    <row r="881" spans="2:19" x14ac:dyDescent="0.25">
      <c r="B881"/>
      <c r="C881"/>
      <c r="L881"/>
      <c r="R881" s="66"/>
    </row>
    <row r="882" spans="2:19" x14ac:dyDescent="0.25">
      <c r="B882"/>
      <c r="C882"/>
      <c r="L882"/>
      <c r="R882" s="66"/>
    </row>
    <row r="883" spans="2:19" x14ac:dyDescent="0.25">
      <c r="B883"/>
      <c r="C883"/>
      <c r="L883"/>
      <c r="R883" s="66"/>
    </row>
    <row r="884" spans="2:19" x14ac:dyDescent="0.25">
      <c r="B884"/>
      <c r="C884"/>
      <c r="L884"/>
      <c r="R884" s="66"/>
    </row>
    <row r="885" spans="2:19" x14ac:dyDescent="0.25">
      <c r="B885"/>
      <c r="C885"/>
      <c r="L885"/>
      <c r="R885" s="66"/>
    </row>
    <row r="886" spans="2:19" x14ac:dyDescent="0.25">
      <c r="B886"/>
      <c r="C886"/>
      <c r="L886"/>
      <c r="R886" s="66"/>
    </row>
    <row r="887" spans="2:19" x14ac:dyDescent="0.25">
      <c r="B887"/>
      <c r="C887"/>
      <c r="L887"/>
      <c r="R887" s="66"/>
    </row>
    <row r="888" spans="2:19" x14ac:dyDescent="0.25">
      <c r="B888"/>
      <c r="C888"/>
      <c r="L888"/>
      <c r="R888" s="66"/>
    </row>
    <row r="889" spans="2:19" x14ac:dyDescent="0.25">
      <c r="B889"/>
      <c r="C889"/>
      <c r="L889"/>
      <c r="R889" s="66"/>
    </row>
    <row r="890" spans="2:19" x14ac:dyDescent="0.25">
      <c r="B890"/>
      <c r="C890"/>
      <c r="L890"/>
      <c r="R890" s="66"/>
    </row>
    <row r="891" spans="2:19" x14ac:dyDescent="0.25">
      <c r="B891"/>
      <c r="C891"/>
      <c r="L891"/>
      <c r="R891" s="66"/>
    </row>
    <row r="892" spans="2:19" x14ac:dyDescent="0.25">
      <c r="B892"/>
      <c r="C892"/>
      <c r="L892"/>
      <c r="R892" s="66"/>
    </row>
    <row r="893" spans="2:19" x14ac:dyDescent="0.25">
      <c r="B893"/>
      <c r="C893"/>
      <c r="L893"/>
      <c r="R893" s="66"/>
    </row>
    <row r="894" spans="2:19" x14ac:dyDescent="0.25">
      <c r="B894"/>
      <c r="C894"/>
      <c r="L894"/>
      <c r="R894" s="67">
        <f t="shared" ref="R894:R939" si="181">G894*O895</f>
        <v>0</v>
      </c>
      <c r="S894" s="61"/>
    </row>
    <row r="895" spans="2:19" x14ac:dyDescent="0.25">
      <c r="B895"/>
      <c r="C895"/>
      <c r="L895"/>
      <c r="R895" s="64">
        <f t="shared" si="181"/>
        <v>0</v>
      </c>
      <c r="S895" s="61"/>
    </row>
    <row r="896" spans="2:19" x14ac:dyDescent="0.25">
      <c r="B896"/>
      <c r="C896"/>
      <c r="L896"/>
      <c r="R896" s="64">
        <f t="shared" si="181"/>
        <v>0</v>
      </c>
      <c r="S896" s="61"/>
    </row>
    <row r="897" spans="2:19" x14ac:dyDescent="0.25">
      <c r="B897"/>
      <c r="C897"/>
      <c r="L897"/>
      <c r="R897" s="64">
        <f t="shared" si="181"/>
        <v>0</v>
      </c>
      <c r="S897" s="61"/>
    </row>
    <row r="898" spans="2:19" x14ac:dyDescent="0.25">
      <c r="B898"/>
      <c r="C898"/>
      <c r="L898"/>
      <c r="R898" s="64">
        <f t="shared" si="181"/>
        <v>0</v>
      </c>
      <c r="S898" s="61"/>
    </row>
    <row r="899" spans="2:19" x14ac:dyDescent="0.25">
      <c r="B899"/>
      <c r="C899"/>
      <c r="L899"/>
      <c r="R899" s="64">
        <f t="shared" si="181"/>
        <v>0</v>
      </c>
      <c r="S899" s="61"/>
    </row>
    <row r="900" spans="2:19" x14ac:dyDescent="0.25">
      <c r="B900"/>
      <c r="C900"/>
      <c r="L900"/>
      <c r="R900" s="64">
        <f t="shared" si="181"/>
        <v>0</v>
      </c>
      <c r="S900" s="61"/>
    </row>
    <row r="901" spans="2:19" x14ac:dyDescent="0.25">
      <c r="B901"/>
      <c r="C901"/>
      <c r="L901"/>
      <c r="R901" s="64">
        <f t="shared" si="181"/>
        <v>0</v>
      </c>
      <c r="S901" s="61"/>
    </row>
    <row r="902" spans="2:19" x14ac:dyDescent="0.25">
      <c r="B902"/>
      <c r="C902"/>
      <c r="L902"/>
      <c r="R902" s="64">
        <f t="shared" si="181"/>
        <v>0</v>
      </c>
      <c r="S902" s="61"/>
    </row>
    <row r="903" spans="2:19" x14ac:dyDescent="0.25">
      <c r="B903"/>
      <c r="C903"/>
      <c r="L903"/>
      <c r="R903" s="64">
        <f t="shared" si="181"/>
        <v>0</v>
      </c>
      <c r="S903" s="61"/>
    </row>
    <row r="904" spans="2:19" x14ac:dyDescent="0.25">
      <c r="B904"/>
      <c r="C904"/>
      <c r="L904"/>
      <c r="R904" s="64">
        <f t="shared" si="181"/>
        <v>0</v>
      </c>
      <c r="S904" s="61"/>
    </row>
    <row r="905" spans="2:19" x14ac:dyDescent="0.25">
      <c r="B905"/>
      <c r="C905"/>
      <c r="L905"/>
      <c r="R905" s="64">
        <f t="shared" si="181"/>
        <v>0</v>
      </c>
      <c r="S905" s="61"/>
    </row>
    <row r="906" spans="2:19" x14ac:dyDescent="0.25">
      <c r="B906"/>
      <c r="C906"/>
      <c r="L906"/>
      <c r="R906" s="64">
        <f t="shared" si="181"/>
        <v>0</v>
      </c>
      <c r="S906" s="61"/>
    </row>
    <row r="907" spans="2:19" x14ac:dyDescent="0.25">
      <c r="B907"/>
      <c r="C907"/>
      <c r="L907"/>
      <c r="R907" s="64">
        <f t="shared" si="181"/>
        <v>0</v>
      </c>
      <c r="S907" s="61"/>
    </row>
    <row r="908" spans="2:19" x14ac:dyDescent="0.25">
      <c r="B908"/>
      <c r="C908"/>
      <c r="L908"/>
      <c r="R908" s="64">
        <f t="shared" si="181"/>
        <v>0</v>
      </c>
      <c r="S908" s="61"/>
    </row>
    <row r="909" spans="2:19" x14ac:dyDescent="0.25">
      <c r="B909"/>
      <c r="C909"/>
      <c r="L909"/>
      <c r="R909" s="64">
        <f t="shared" si="181"/>
        <v>0</v>
      </c>
      <c r="S909" s="61"/>
    </row>
    <row r="910" spans="2:19" x14ac:dyDescent="0.25">
      <c r="B910"/>
      <c r="C910"/>
      <c r="L910"/>
      <c r="R910" s="64">
        <f t="shared" si="181"/>
        <v>0</v>
      </c>
      <c r="S910" s="61"/>
    </row>
    <row r="911" spans="2:19" x14ac:dyDescent="0.25">
      <c r="B911"/>
      <c r="C911"/>
      <c r="L911"/>
      <c r="R911" s="64">
        <f t="shared" si="181"/>
        <v>0</v>
      </c>
      <c r="S911" s="61"/>
    </row>
    <row r="912" spans="2:19" x14ac:dyDescent="0.25">
      <c r="B912"/>
      <c r="C912"/>
      <c r="L912"/>
      <c r="R912" s="64">
        <f t="shared" si="181"/>
        <v>0</v>
      </c>
      <c r="S912" s="61"/>
    </row>
    <row r="913" spans="2:19" x14ac:dyDescent="0.25">
      <c r="B913"/>
      <c r="C913"/>
      <c r="L913"/>
      <c r="R913" s="64">
        <f t="shared" si="181"/>
        <v>0</v>
      </c>
      <c r="S913" s="61"/>
    </row>
    <row r="914" spans="2:19" x14ac:dyDescent="0.25">
      <c r="B914"/>
      <c r="C914"/>
      <c r="L914"/>
      <c r="R914" s="64">
        <f t="shared" si="181"/>
        <v>0</v>
      </c>
      <c r="S914" s="61"/>
    </row>
    <row r="915" spans="2:19" x14ac:dyDescent="0.25">
      <c r="B915"/>
      <c r="C915"/>
      <c r="L915"/>
      <c r="R915" s="64">
        <f t="shared" si="181"/>
        <v>0</v>
      </c>
      <c r="S915" s="61"/>
    </row>
    <row r="916" spans="2:19" x14ac:dyDescent="0.25">
      <c r="B916"/>
      <c r="C916"/>
      <c r="L916"/>
      <c r="R916" s="64">
        <f t="shared" si="181"/>
        <v>0</v>
      </c>
      <c r="S916" s="61"/>
    </row>
    <row r="917" spans="2:19" x14ac:dyDescent="0.25">
      <c r="B917"/>
      <c r="C917"/>
      <c r="L917"/>
      <c r="R917" s="64">
        <f t="shared" si="181"/>
        <v>0</v>
      </c>
      <c r="S917" s="61"/>
    </row>
    <row r="918" spans="2:19" x14ac:dyDescent="0.25">
      <c r="B918"/>
      <c r="C918"/>
      <c r="L918"/>
      <c r="R918" s="64">
        <f t="shared" si="181"/>
        <v>0</v>
      </c>
      <c r="S918" s="61"/>
    </row>
    <row r="919" spans="2:19" x14ac:dyDescent="0.25">
      <c r="B919"/>
      <c r="C919"/>
      <c r="L919"/>
      <c r="R919" s="64">
        <f t="shared" si="181"/>
        <v>0</v>
      </c>
      <c r="S919" s="61"/>
    </row>
    <row r="920" spans="2:19" x14ac:dyDescent="0.25">
      <c r="B920"/>
      <c r="C920"/>
      <c r="L920"/>
      <c r="R920" s="64">
        <f t="shared" si="181"/>
        <v>0</v>
      </c>
      <c r="S920" s="61"/>
    </row>
    <row r="921" spans="2:19" x14ac:dyDescent="0.25">
      <c r="B921"/>
      <c r="C921"/>
      <c r="L921"/>
      <c r="R921" s="64">
        <f t="shared" si="181"/>
        <v>0</v>
      </c>
      <c r="S921" s="61"/>
    </row>
    <row r="922" spans="2:19" x14ac:dyDescent="0.25">
      <c r="B922"/>
      <c r="C922"/>
      <c r="L922"/>
      <c r="R922" s="64">
        <f t="shared" si="181"/>
        <v>0</v>
      </c>
      <c r="S922" s="61"/>
    </row>
    <row r="923" spans="2:19" x14ac:dyDescent="0.25">
      <c r="B923"/>
      <c r="C923"/>
      <c r="L923"/>
      <c r="R923" s="64">
        <f t="shared" si="181"/>
        <v>0</v>
      </c>
      <c r="S923" s="61"/>
    </row>
    <row r="924" spans="2:19" x14ac:dyDescent="0.25">
      <c r="B924"/>
      <c r="C924"/>
      <c r="L924"/>
      <c r="R924" s="64">
        <f t="shared" si="181"/>
        <v>0</v>
      </c>
      <c r="S924" s="61"/>
    </row>
    <row r="925" spans="2:19" x14ac:dyDescent="0.25">
      <c r="B925"/>
      <c r="C925"/>
      <c r="L925"/>
      <c r="R925" s="64">
        <f t="shared" si="181"/>
        <v>0</v>
      </c>
      <c r="S925" s="61"/>
    </row>
    <row r="926" spans="2:19" x14ac:dyDescent="0.25">
      <c r="B926"/>
      <c r="C926"/>
      <c r="L926"/>
      <c r="R926" s="64">
        <f t="shared" si="181"/>
        <v>0</v>
      </c>
      <c r="S926" s="61"/>
    </row>
    <row r="927" spans="2:19" x14ac:dyDescent="0.25">
      <c r="B927"/>
      <c r="C927"/>
      <c r="L927"/>
      <c r="R927" s="64">
        <f t="shared" si="181"/>
        <v>0</v>
      </c>
      <c r="S927" s="61"/>
    </row>
    <row r="928" spans="2:19" x14ac:dyDescent="0.25">
      <c r="B928"/>
      <c r="C928"/>
      <c r="L928"/>
      <c r="R928" s="64">
        <f t="shared" si="181"/>
        <v>0</v>
      </c>
      <c r="S928" s="61"/>
    </row>
    <row r="929" spans="2:19" x14ac:dyDescent="0.25">
      <c r="B929"/>
      <c r="C929"/>
      <c r="L929"/>
      <c r="R929" s="64">
        <f t="shared" si="181"/>
        <v>0</v>
      </c>
      <c r="S929" s="61"/>
    </row>
    <row r="930" spans="2:19" x14ac:dyDescent="0.25">
      <c r="B930"/>
      <c r="C930"/>
      <c r="L930"/>
      <c r="R930" s="64">
        <f t="shared" si="181"/>
        <v>0</v>
      </c>
      <c r="S930" s="61"/>
    </row>
    <row r="931" spans="2:19" x14ac:dyDescent="0.25">
      <c r="B931"/>
      <c r="C931"/>
      <c r="L931"/>
      <c r="R931" s="64">
        <f t="shared" si="181"/>
        <v>0</v>
      </c>
      <c r="S931" s="61"/>
    </row>
    <row r="932" spans="2:19" x14ac:dyDescent="0.25">
      <c r="B932"/>
      <c r="C932"/>
      <c r="L932"/>
      <c r="R932" s="64">
        <f t="shared" si="181"/>
        <v>0</v>
      </c>
      <c r="S932" s="61"/>
    </row>
    <row r="933" spans="2:19" x14ac:dyDescent="0.25">
      <c r="B933"/>
      <c r="C933"/>
      <c r="L933"/>
      <c r="R933" s="64">
        <f t="shared" si="181"/>
        <v>0</v>
      </c>
      <c r="S933" s="61"/>
    </row>
    <row r="934" spans="2:19" x14ac:dyDescent="0.25">
      <c r="B934"/>
      <c r="C934"/>
      <c r="L934"/>
      <c r="R934" s="64">
        <f t="shared" si="181"/>
        <v>0</v>
      </c>
      <c r="S934" s="61"/>
    </row>
    <row r="935" spans="2:19" x14ac:dyDescent="0.25">
      <c r="B935"/>
      <c r="C935"/>
      <c r="L935"/>
      <c r="R935" s="64">
        <f t="shared" si="181"/>
        <v>0</v>
      </c>
      <c r="S935" s="61"/>
    </row>
    <row r="936" spans="2:19" x14ac:dyDescent="0.25">
      <c r="B936"/>
      <c r="C936"/>
      <c r="L936"/>
      <c r="R936" s="64">
        <f t="shared" si="181"/>
        <v>0</v>
      </c>
      <c r="S936" s="61"/>
    </row>
    <row r="937" spans="2:19" x14ac:dyDescent="0.25">
      <c r="B937"/>
      <c r="C937"/>
      <c r="L937"/>
      <c r="R937" s="64">
        <f t="shared" si="181"/>
        <v>0</v>
      </c>
      <c r="S937" s="61"/>
    </row>
    <row r="938" spans="2:19" x14ac:dyDescent="0.25">
      <c r="B938"/>
      <c r="C938"/>
      <c r="L938"/>
      <c r="R938" s="64">
        <f t="shared" si="181"/>
        <v>0</v>
      </c>
      <c r="S938" s="61"/>
    </row>
    <row r="939" spans="2:19" x14ac:dyDescent="0.25">
      <c r="B939"/>
      <c r="C939"/>
      <c r="L939"/>
      <c r="R939" s="64">
        <f t="shared" si="181"/>
        <v>0</v>
      </c>
      <c r="S939" s="61"/>
    </row>
    <row r="953" spans="2:19" ht="15.75" thickBot="1" x14ac:dyDescent="0.3">
      <c r="B953"/>
      <c r="C953"/>
      <c r="L953"/>
      <c r="R953" s="488"/>
      <c r="S953" s="489"/>
    </row>
    <row r="954" spans="2:19" x14ac:dyDescent="0.25">
      <c r="B954"/>
      <c r="C954"/>
      <c r="L954"/>
      <c r="R954" s="15"/>
      <c r="S954" s="15"/>
    </row>
    <row r="955" spans="2:19" x14ac:dyDescent="0.25">
      <c r="B955"/>
      <c r="C955"/>
      <c r="L955"/>
      <c r="R955" s="64"/>
      <c r="S955" s="61"/>
    </row>
    <row r="956" spans="2:19" x14ac:dyDescent="0.25">
      <c r="B956"/>
      <c r="C956"/>
      <c r="L956"/>
      <c r="R956" s="64"/>
      <c r="S956" s="61"/>
    </row>
    <row r="957" spans="2:19" x14ac:dyDescent="0.25">
      <c r="B957"/>
      <c r="C957"/>
      <c r="L957"/>
      <c r="R957" s="64"/>
      <c r="S957" s="61"/>
    </row>
    <row r="958" spans="2:19" x14ac:dyDescent="0.25">
      <c r="B958"/>
      <c r="C958"/>
      <c r="L958"/>
      <c r="R958" s="64"/>
      <c r="S958" s="61"/>
    </row>
    <row r="959" spans="2:19" x14ac:dyDescent="0.25">
      <c r="B959"/>
      <c r="C959"/>
      <c r="L959"/>
      <c r="R959" s="64"/>
      <c r="S959" s="61"/>
    </row>
    <row r="960" spans="2:19" x14ac:dyDescent="0.25">
      <c r="B960"/>
      <c r="C960"/>
      <c r="L960"/>
      <c r="R960" s="64"/>
      <c r="S960" s="61"/>
    </row>
    <row r="961" spans="2:19" x14ac:dyDescent="0.25">
      <c r="B961"/>
      <c r="C961"/>
      <c r="L961"/>
      <c r="R961" s="64"/>
      <c r="S961" s="61"/>
    </row>
    <row r="962" spans="2:19" x14ac:dyDescent="0.25">
      <c r="B962"/>
      <c r="C962"/>
      <c r="L962"/>
      <c r="R962" s="64"/>
      <c r="S962" s="61"/>
    </row>
    <row r="963" spans="2:19" x14ac:dyDescent="0.25">
      <c r="B963"/>
      <c r="C963"/>
      <c r="L963"/>
      <c r="R963" s="64"/>
      <c r="S963" s="61"/>
    </row>
    <row r="964" spans="2:19" x14ac:dyDescent="0.25">
      <c r="B964"/>
      <c r="C964"/>
      <c r="L964"/>
      <c r="R964" s="64"/>
      <c r="S964" s="61"/>
    </row>
    <row r="965" spans="2:19" x14ac:dyDescent="0.25">
      <c r="B965"/>
      <c r="C965"/>
      <c r="L965"/>
      <c r="R965" s="64"/>
      <c r="S965" s="61"/>
    </row>
    <row r="966" spans="2:19" x14ac:dyDescent="0.25">
      <c r="B966"/>
      <c r="C966"/>
      <c r="L966"/>
      <c r="R966" s="64"/>
      <c r="S966" s="61"/>
    </row>
    <row r="967" spans="2:19" x14ac:dyDescent="0.25">
      <c r="B967"/>
      <c r="C967"/>
      <c r="L967"/>
      <c r="R967" s="64"/>
      <c r="S967" s="61"/>
    </row>
    <row r="968" spans="2:19" x14ac:dyDescent="0.25">
      <c r="B968"/>
      <c r="C968"/>
      <c r="L968"/>
      <c r="R968" s="64"/>
      <c r="S968" s="61"/>
    </row>
    <row r="969" spans="2:19" x14ac:dyDescent="0.25">
      <c r="B969"/>
      <c r="C969"/>
      <c r="L969"/>
      <c r="R969" s="64"/>
      <c r="S969" s="61"/>
    </row>
    <row r="970" spans="2:19" x14ac:dyDescent="0.25">
      <c r="B970"/>
      <c r="C970"/>
      <c r="L970"/>
      <c r="R970" s="64"/>
      <c r="S970" s="61"/>
    </row>
    <row r="971" spans="2:19" x14ac:dyDescent="0.25">
      <c r="B971"/>
      <c r="C971"/>
      <c r="L971"/>
      <c r="R971" s="64"/>
      <c r="S971" s="61"/>
    </row>
    <row r="972" spans="2:19" x14ac:dyDescent="0.25">
      <c r="B972"/>
      <c r="C972"/>
      <c r="L972"/>
      <c r="R972" s="64"/>
      <c r="S972" s="61"/>
    </row>
    <row r="973" spans="2:19" x14ac:dyDescent="0.25">
      <c r="B973"/>
      <c r="C973"/>
      <c r="L973"/>
      <c r="R973" s="64"/>
      <c r="S973" s="61"/>
    </row>
    <row r="974" spans="2:19" x14ac:dyDescent="0.25">
      <c r="B974"/>
      <c r="C974"/>
      <c r="L974"/>
      <c r="R974" s="64"/>
      <c r="S974" s="61"/>
    </row>
    <row r="975" spans="2:19" x14ac:dyDescent="0.25">
      <c r="B975"/>
      <c r="C975"/>
      <c r="L975"/>
      <c r="R975" s="64"/>
      <c r="S975" s="61"/>
    </row>
    <row r="976" spans="2:19" x14ac:dyDescent="0.25">
      <c r="B976"/>
      <c r="C976"/>
      <c r="L976"/>
      <c r="R976" s="64"/>
      <c r="S976" s="61"/>
    </row>
    <row r="977" spans="2:19" x14ac:dyDescent="0.25">
      <c r="B977"/>
      <c r="C977"/>
      <c r="L977"/>
      <c r="R977" s="64"/>
      <c r="S977" s="61"/>
    </row>
    <row r="978" spans="2:19" x14ac:dyDescent="0.25">
      <c r="B978"/>
      <c r="C978"/>
      <c r="L978"/>
      <c r="R978" s="64"/>
      <c r="S978" s="61"/>
    </row>
    <row r="979" spans="2:19" x14ac:dyDescent="0.25">
      <c r="B979"/>
      <c r="C979"/>
      <c r="L979"/>
      <c r="R979" s="64"/>
      <c r="S979" s="61"/>
    </row>
    <row r="980" spans="2:19" x14ac:dyDescent="0.25">
      <c r="B980"/>
      <c r="C980"/>
      <c r="L980"/>
      <c r="R980" s="64"/>
      <c r="S980" s="61"/>
    </row>
    <row r="981" spans="2:19" x14ac:dyDescent="0.25">
      <c r="B981"/>
      <c r="C981"/>
      <c r="L981"/>
      <c r="R981" s="64"/>
      <c r="S981" s="61"/>
    </row>
    <row r="982" spans="2:19" x14ac:dyDescent="0.25">
      <c r="B982"/>
      <c r="C982"/>
      <c r="L982"/>
      <c r="R982" s="64"/>
      <c r="S982" s="61"/>
    </row>
    <row r="983" spans="2:19" x14ac:dyDescent="0.25">
      <c r="B983"/>
      <c r="C983"/>
      <c r="L983"/>
      <c r="R983" s="64"/>
      <c r="S983" s="61"/>
    </row>
    <row r="984" spans="2:19" x14ac:dyDescent="0.25">
      <c r="B984"/>
      <c r="C984"/>
      <c r="L984"/>
      <c r="R984" s="64"/>
      <c r="S984" s="61"/>
    </row>
    <row r="985" spans="2:19" x14ac:dyDescent="0.25">
      <c r="B985"/>
      <c r="C985"/>
      <c r="L985"/>
      <c r="R985" s="64"/>
      <c r="S985" s="61"/>
    </row>
    <row r="986" spans="2:19" x14ac:dyDescent="0.25">
      <c r="B986"/>
      <c r="C986"/>
      <c r="L986"/>
      <c r="R986" s="64"/>
      <c r="S986" s="61"/>
    </row>
    <row r="987" spans="2:19" x14ac:dyDescent="0.25">
      <c r="B987"/>
      <c r="C987"/>
      <c r="L987"/>
      <c r="R987" s="64"/>
      <c r="S987" s="61"/>
    </row>
    <row r="988" spans="2:19" x14ac:dyDescent="0.25">
      <c r="B988"/>
      <c r="C988"/>
      <c r="L988"/>
      <c r="R988" s="64"/>
      <c r="S988" s="61"/>
    </row>
    <row r="989" spans="2:19" x14ac:dyDescent="0.25">
      <c r="B989"/>
      <c r="C989"/>
      <c r="L989"/>
      <c r="R989" s="64"/>
      <c r="S989" s="61"/>
    </row>
    <row r="990" spans="2:19" x14ac:dyDescent="0.25">
      <c r="B990"/>
      <c r="C990"/>
      <c r="L990"/>
      <c r="R990" s="67"/>
      <c r="S990" s="61"/>
    </row>
    <row r="991" spans="2:19" x14ac:dyDescent="0.25">
      <c r="B991"/>
      <c r="C991"/>
      <c r="L991"/>
      <c r="R991" s="66"/>
    </row>
    <row r="992" spans="2:19" x14ac:dyDescent="0.25">
      <c r="B992"/>
      <c r="C992"/>
      <c r="L992"/>
      <c r="R992" s="66"/>
    </row>
    <row r="993" spans="2:19" x14ac:dyDescent="0.25">
      <c r="B993"/>
      <c r="C993"/>
      <c r="L993"/>
      <c r="R993" s="66"/>
    </row>
    <row r="994" spans="2:19" x14ac:dyDescent="0.25">
      <c r="B994"/>
      <c r="C994"/>
      <c r="L994"/>
      <c r="R994" s="67"/>
      <c r="S994" s="61"/>
    </row>
    <row r="995" spans="2:19" x14ac:dyDescent="0.25">
      <c r="B995"/>
      <c r="C995"/>
      <c r="L995"/>
      <c r="R995" s="64"/>
      <c r="S995" s="61"/>
    </row>
    <row r="996" spans="2:19" x14ac:dyDescent="0.25">
      <c r="B996"/>
      <c r="C996"/>
      <c r="L996"/>
      <c r="R996" s="64"/>
      <c r="S996" s="61"/>
    </row>
    <row r="997" spans="2:19" x14ac:dyDescent="0.25">
      <c r="B997"/>
      <c r="C997"/>
      <c r="L997"/>
      <c r="R997" s="64"/>
      <c r="S997" s="61"/>
    </row>
    <row r="998" spans="2:19" x14ac:dyDescent="0.25">
      <c r="B998"/>
      <c r="C998"/>
      <c r="L998"/>
      <c r="R998" s="64"/>
      <c r="S998" s="61"/>
    </row>
    <row r="999" spans="2:19" x14ac:dyDescent="0.25">
      <c r="B999"/>
      <c r="C999"/>
      <c r="L999"/>
      <c r="R999" s="64"/>
      <c r="S999" s="61"/>
    </row>
    <row r="1000" spans="2:19" x14ac:dyDescent="0.25">
      <c r="B1000"/>
      <c r="C1000"/>
      <c r="L1000"/>
      <c r="R1000" s="64"/>
      <c r="S1000" s="61"/>
    </row>
    <row r="1001" spans="2:19" x14ac:dyDescent="0.25">
      <c r="B1001"/>
      <c r="C1001"/>
      <c r="L1001"/>
      <c r="R1001" s="64"/>
      <c r="S1001" s="61"/>
    </row>
    <row r="1002" spans="2:19" x14ac:dyDescent="0.25">
      <c r="B1002"/>
      <c r="C1002"/>
      <c r="L1002"/>
      <c r="R1002" s="64"/>
      <c r="S1002" s="61"/>
    </row>
    <row r="1003" spans="2:19" x14ac:dyDescent="0.25">
      <c r="B1003"/>
      <c r="C1003"/>
      <c r="L1003"/>
      <c r="R1003" s="64"/>
      <c r="S1003" s="61"/>
    </row>
    <row r="1004" spans="2:19" x14ac:dyDescent="0.25">
      <c r="B1004"/>
      <c r="C1004"/>
      <c r="L1004"/>
      <c r="R1004" s="64"/>
      <c r="S1004" s="61"/>
    </row>
    <row r="1005" spans="2:19" x14ac:dyDescent="0.25">
      <c r="B1005"/>
      <c r="C1005"/>
      <c r="L1005"/>
      <c r="R1005" s="64"/>
      <c r="S1005" s="61"/>
    </row>
    <row r="1006" spans="2:19" x14ac:dyDescent="0.25">
      <c r="B1006"/>
      <c r="C1006"/>
      <c r="L1006"/>
      <c r="R1006" s="64"/>
      <c r="S1006" s="61"/>
    </row>
    <row r="1007" spans="2:19" x14ac:dyDescent="0.25">
      <c r="B1007"/>
      <c r="C1007"/>
      <c r="L1007"/>
      <c r="R1007" s="64"/>
      <c r="S1007" s="61"/>
    </row>
    <row r="1008" spans="2:19" x14ac:dyDescent="0.25">
      <c r="B1008"/>
      <c r="C1008"/>
      <c r="L1008"/>
      <c r="R1008" s="64"/>
      <c r="S1008" s="61"/>
    </row>
    <row r="1009" spans="2:19" x14ac:dyDescent="0.25">
      <c r="B1009"/>
      <c r="C1009"/>
      <c r="L1009"/>
      <c r="R1009" s="64"/>
      <c r="S1009" s="61"/>
    </row>
    <row r="1010" spans="2:19" x14ac:dyDescent="0.25">
      <c r="B1010"/>
      <c r="C1010"/>
      <c r="L1010"/>
      <c r="R1010" s="64"/>
      <c r="S1010" s="61"/>
    </row>
    <row r="1011" spans="2:19" x14ac:dyDescent="0.25">
      <c r="B1011"/>
      <c r="C1011"/>
      <c r="L1011"/>
      <c r="R1011" s="64"/>
      <c r="S1011" s="61"/>
    </row>
    <row r="1012" spans="2:19" x14ac:dyDescent="0.25">
      <c r="B1012"/>
      <c r="C1012"/>
      <c r="L1012"/>
      <c r="R1012" s="64"/>
      <c r="S1012" s="61"/>
    </row>
    <row r="1013" spans="2:19" x14ac:dyDescent="0.25">
      <c r="B1013"/>
      <c r="C1013"/>
      <c r="L1013"/>
      <c r="R1013" s="64"/>
      <c r="S1013" s="61"/>
    </row>
    <row r="1014" spans="2:19" x14ac:dyDescent="0.25">
      <c r="B1014"/>
      <c r="C1014"/>
      <c r="L1014"/>
      <c r="R1014" s="64"/>
      <c r="S1014" s="61"/>
    </row>
    <row r="1015" spans="2:19" x14ac:dyDescent="0.25">
      <c r="B1015"/>
      <c r="C1015"/>
      <c r="L1015"/>
      <c r="R1015" s="64"/>
      <c r="S1015" s="61"/>
    </row>
    <row r="1016" spans="2:19" x14ac:dyDescent="0.25">
      <c r="B1016"/>
      <c r="C1016"/>
      <c r="L1016"/>
      <c r="R1016" s="64"/>
      <c r="S1016" s="61"/>
    </row>
    <row r="1017" spans="2:19" x14ac:dyDescent="0.25">
      <c r="B1017"/>
      <c r="C1017"/>
      <c r="L1017"/>
      <c r="R1017" s="64"/>
      <c r="S1017" s="61"/>
    </row>
    <row r="1018" spans="2:19" x14ac:dyDescent="0.25">
      <c r="B1018"/>
      <c r="C1018"/>
      <c r="L1018"/>
      <c r="R1018" s="64"/>
      <c r="S1018" s="61"/>
    </row>
    <row r="1019" spans="2:19" x14ac:dyDescent="0.25">
      <c r="B1019"/>
      <c r="C1019"/>
      <c r="L1019"/>
      <c r="R1019" s="64"/>
      <c r="S1019" s="61"/>
    </row>
    <row r="1020" spans="2:19" x14ac:dyDescent="0.25">
      <c r="B1020"/>
      <c r="C1020"/>
      <c r="L1020"/>
      <c r="R1020" s="64"/>
      <c r="S1020" s="61"/>
    </row>
    <row r="1021" spans="2:19" x14ac:dyDescent="0.25">
      <c r="B1021"/>
      <c r="C1021"/>
      <c r="L1021"/>
      <c r="R1021" s="64"/>
      <c r="S1021" s="61"/>
    </row>
    <row r="1022" spans="2:19" x14ac:dyDescent="0.25">
      <c r="B1022"/>
      <c r="C1022"/>
      <c r="L1022"/>
      <c r="R1022" s="64"/>
      <c r="S1022" s="61"/>
    </row>
    <row r="1023" spans="2:19" x14ac:dyDescent="0.25">
      <c r="B1023"/>
      <c r="C1023"/>
      <c r="L1023"/>
      <c r="R1023" s="64"/>
      <c r="S1023" s="61"/>
    </row>
    <row r="1024" spans="2:19" x14ac:dyDescent="0.25">
      <c r="B1024"/>
      <c r="C1024"/>
      <c r="L1024"/>
      <c r="R1024" s="64"/>
      <c r="S1024" s="61"/>
    </row>
    <row r="1025" spans="2:19" x14ac:dyDescent="0.25">
      <c r="B1025"/>
      <c r="C1025"/>
      <c r="L1025"/>
      <c r="R1025" s="67"/>
      <c r="S1025" s="61"/>
    </row>
    <row r="1026" spans="2:19" x14ac:dyDescent="0.25">
      <c r="B1026"/>
      <c r="C1026"/>
      <c r="L1026"/>
      <c r="R1026" s="66"/>
    </row>
    <row r="1027" spans="2:19" x14ac:dyDescent="0.25">
      <c r="B1027"/>
      <c r="C1027"/>
      <c r="L1027"/>
      <c r="R1027" s="66"/>
    </row>
    <row r="1028" spans="2:19" x14ac:dyDescent="0.25">
      <c r="B1028"/>
      <c r="C1028"/>
      <c r="L1028"/>
      <c r="R1028" s="66"/>
    </row>
    <row r="1029" spans="2:19" x14ac:dyDescent="0.25">
      <c r="B1029"/>
      <c r="C1029"/>
      <c r="L1029"/>
      <c r="R1029" s="66"/>
    </row>
    <row r="1030" spans="2:19" x14ac:dyDescent="0.25">
      <c r="B1030"/>
      <c r="C1030"/>
      <c r="L1030"/>
      <c r="R1030" s="66"/>
    </row>
    <row r="1031" spans="2:19" x14ac:dyDescent="0.25">
      <c r="B1031"/>
      <c r="C1031"/>
      <c r="L1031"/>
      <c r="R1031" s="66"/>
    </row>
    <row r="1032" spans="2:19" x14ac:dyDescent="0.25">
      <c r="B1032"/>
      <c r="C1032"/>
      <c r="L1032"/>
      <c r="R1032" s="66"/>
    </row>
    <row r="1033" spans="2:19" x14ac:dyDescent="0.25">
      <c r="B1033"/>
      <c r="C1033"/>
      <c r="L1033"/>
      <c r="R1033" s="66"/>
    </row>
    <row r="1034" spans="2:19" x14ac:dyDescent="0.25">
      <c r="B1034"/>
      <c r="C1034"/>
      <c r="L1034"/>
      <c r="R1034" s="66"/>
    </row>
    <row r="1035" spans="2:19" x14ac:dyDescent="0.25">
      <c r="B1035"/>
      <c r="C1035"/>
      <c r="L1035"/>
      <c r="R1035" s="66"/>
    </row>
    <row r="1036" spans="2:19" x14ac:dyDescent="0.25">
      <c r="B1036"/>
      <c r="C1036"/>
      <c r="L1036"/>
      <c r="R1036" s="66"/>
    </row>
    <row r="1037" spans="2:19" x14ac:dyDescent="0.25">
      <c r="B1037"/>
      <c r="C1037"/>
      <c r="L1037"/>
      <c r="R1037" s="66"/>
    </row>
    <row r="1038" spans="2:19" x14ac:dyDescent="0.25">
      <c r="B1038"/>
      <c r="C1038"/>
      <c r="L1038"/>
      <c r="R1038" s="66"/>
    </row>
    <row r="1039" spans="2:19" x14ac:dyDescent="0.25">
      <c r="B1039"/>
      <c r="C1039"/>
      <c r="L1039"/>
      <c r="R1039" s="66"/>
    </row>
    <row r="1040" spans="2:19" x14ac:dyDescent="0.25">
      <c r="B1040"/>
      <c r="C1040"/>
      <c r="L1040"/>
      <c r="R1040" s="66"/>
    </row>
    <row r="1042" spans="2:19" ht="15.75" thickBot="1" x14ac:dyDescent="0.3">
      <c r="B1042"/>
      <c r="C1042"/>
      <c r="L1042"/>
      <c r="R1042" s="488"/>
      <c r="S1042" s="489"/>
    </row>
    <row r="1043" spans="2:19" x14ac:dyDescent="0.25">
      <c r="B1043"/>
      <c r="C1043"/>
      <c r="L1043"/>
      <c r="R1043" s="15"/>
      <c r="S1043" s="15"/>
    </row>
    <row r="1044" spans="2:19" x14ac:dyDescent="0.25">
      <c r="B1044"/>
      <c r="C1044"/>
      <c r="L1044"/>
      <c r="R1044" s="70"/>
      <c r="S1044" s="61"/>
    </row>
    <row r="1045" spans="2:19" x14ac:dyDescent="0.25">
      <c r="B1045"/>
      <c r="C1045"/>
      <c r="L1045"/>
      <c r="R1045" s="70"/>
      <c r="S1045" s="61"/>
    </row>
    <row r="1046" spans="2:19" x14ac:dyDescent="0.25">
      <c r="B1046"/>
      <c r="C1046"/>
      <c r="L1046"/>
      <c r="R1046" s="70"/>
      <c r="S1046" s="61"/>
    </row>
    <row r="1047" spans="2:19" x14ac:dyDescent="0.25">
      <c r="B1047"/>
      <c r="C1047"/>
      <c r="L1047"/>
      <c r="R1047" s="70"/>
      <c r="S1047" s="61"/>
    </row>
    <row r="1048" spans="2:19" x14ac:dyDescent="0.25">
      <c r="B1048"/>
      <c r="C1048"/>
      <c r="L1048"/>
      <c r="R1048" s="70"/>
      <c r="S1048" s="61"/>
    </row>
    <row r="1049" spans="2:19" x14ac:dyDescent="0.25">
      <c r="B1049"/>
      <c r="C1049"/>
      <c r="L1049"/>
      <c r="R1049" s="70"/>
      <c r="S1049" s="61"/>
    </row>
    <row r="1050" spans="2:19" x14ac:dyDescent="0.25">
      <c r="B1050"/>
      <c r="C1050"/>
      <c r="L1050"/>
      <c r="R1050" s="70"/>
      <c r="S1050" s="61"/>
    </row>
    <row r="1051" spans="2:19" x14ac:dyDescent="0.25">
      <c r="B1051"/>
      <c r="C1051"/>
      <c r="L1051"/>
      <c r="R1051" s="70"/>
      <c r="S1051" s="69"/>
    </row>
    <row r="1052" spans="2:19" x14ac:dyDescent="0.25">
      <c r="B1052"/>
      <c r="C1052"/>
      <c r="L1052"/>
      <c r="R1052" s="70"/>
      <c r="S1052" s="68"/>
    </row>
    <row r="1053" spans="2:19" x14ac:dyDescent="0.25">
      <c r="B1053"/>
      <c r="C1053"/>
      <c r="L1053"/>
      <c r="R1053" s="64"/>
      <c r="S1053" s="61"/>
    </row>
    <row r="1054" spans="2:19" x14ac:dyDescent="0.25">
      <c r="B1054"/>
      <c r="C1054"/>
      <c r="L1054"/>
      <c r="R1054" s="64"/>
      <c r="S1054" s="61"/>
    </row>
    <row r="1055" spans="2:19" x14ac:dyDescent="0.25">
      <c r="B1055"/>
      <c r="C1055"/>
      <c r="L1055"/>
      <c r="R1055" s="64"/>
      <c r="S1055" s="61"/>
    </row>
    <row r="1056" spans="2:19" x14ac:dyDescent="0.25">
      <c r="B1056"/>
      <c r="C1056"/>
      <c r="L1056"/>
      <c r="R1056" s="64"/>
      <c r="S1056" s="61"/>
    </row>
    <row r="1057" spans="2:19" x14ac:dyDescent="0.25">
      <c r="B1057"/>
      <c r="C1057"/>
      <c r="L1057"/>
      <c r="R1057" s="64"/>
      <c r="S1057" s="61"/>
    </row>
    <row r="1058" spans="2:19" x14ac:dyDescent="0.25">
      <c r="B1058"/>
      <c r="C1058"/>
      <c r="L1058"/>
      <c r="R1058" s="67"/>
      <c r="S1058" s="61"/>
    </row>
    <row r="1059" spans="2:19" x14ac:dyDescent="0.25">
      <c r="B1059"/>
      <c r="C1059"/>
      <c r="L1059"/>
      <c r="R1059" s="66"/>
    </row>
    <row r="1060" spans="2:19" x14ac:dyDescent="0.25">
      <c r="B1060"/>
      <c r="C1060"/>
      <c r="L1060"/>
      <c r="R1060" s="66"/>
    </row>
    <row r="1061" spans="2:19" x14ac:dyDescent="0.25">
      <c r="B1061"/>
      <c r="C1061"/>
      <c r="L1061"/>
      <c r="R1061" s="66"/>
    </row>
    <row r="1062" spans="2:19" x14ac:dyDescent="0.25">
      <c r="B1062"/>
      <c r="C1062"/>
      <c r="L1062"/>
      <c r="R1062" s="67"/>
      <c r="S1062" s="61"/>
    </row>
    <row r="1063" spans="2:19" x14ac:dyDescent="0.25">
      <c r="B1063"/>
      <c r="C1063"/>
      <c r="L1063"/>
      <c r="R1063" s="64"/>
      <c r="S1063" s="61"/>
    </row>
    <row r="1064" spans="2:19" x14ac:dyDescent="0.25">
      <c r="B1064"/>
      <c r="C1064"/>
      <c r="L1064"/>
      <c r="R1064" s="64"/>
      <c r="S1064" s="61"/>
    </row>
    <row r="1065" spans="2:19" x14ac:dyDescent="0.25">
      <c r="B1065"/>
      <c r="C1065"/>
      <c r="L1065"/>
      <c r="R1065" s="64"/>
      <c r="S1065" s="61"/>
    </row>
    <row r="1066" spans="2:19" x14ac:dyDescent="0.25">
      <c r="B1066"/>
      <c r="C1066"/>
      <c r="L1066"/>
      <c r="R1066" s="64"/>
      <c r="S1066" s="61"/>
    </row>
    <row r="1067" spans="2:19" x14ac:dyDescent="0.25">
      <c r="B1067"/>
      <c r="C1067"/>
      <c r="L1067"/>
      <c r="R1067" s="64"/>
      <c r="S1067" s="61"/>
    </row>
  </sheetData>
  <mergeCells count="679">
    <mergeCell ref="N639:N641"/>
    <mergeCell ref="A639:A641"/>
    <mergeCell ref="N321:N323"/>
    <mergeCell ref="C607:C609"/>
    <mergeCell ref="D607:D609"/>
    <mergeCell ref="C360:C361"/>
    <mergeCell ref="C351:C352"/>
    <mergeCell ref="C599:C600"/>
    <mergeCell ref="N356:N357"/>
    <mergeCell ref="D330:D332"/>
    <mergeCell ref="E330:E332"/>
    <mergeCell ref="F330:F332"/>
    <mergeCell ref="E601:E603"/>
    <mergeCell ref="F601:F603"/>
    <mergeCell ref="N594:N595"/>
    <mergeCell ref="F610:F612"/>
    <mergeCell ref="F341:F342"/>
    <mergeCell ref="C341:C342"/>
    <mergeCell ref="C604:C606"/>
    <mergeCell ref="E599:E600"/>
    <mergeCell ref="F599:F600"/>
    <mergeCell ref="D321:D323"/>
    <mergeCell ref="E321:E323"/>
    <mergeCell ref="F321:F323"/>
    <mergeCell ref="B596:B598"/>
    <mergeCell ref="G341:G342"/>
    <mergeCell ref="E346:E347"/>
    <mergeCell ref="F351:F352"/>
    <mergeCell ref="F349:F350"/>
    <mergeCell ref="F346:F347"/>
    <mergeCell ref="E349:E350"/>
    <mergeCell ref="D599:D600"/>
    <mergeCell ref="D594:D595"/>
    <mergeCell ref="E363:E364"/>
    <mergeCell ref="D346:D347"/>
    <mergeCell ref="D360:D361"/>
    <mergeCell ref="D351:D352"/>
    <mergeCell ref="E351:E352"/>
    <mergeCell ref="E360:E361"/>
    <mergeCell ref="E594:E595"/>
    <mergeCell ref="F594:F595"/>
    <mergeCell ref="C346:C347"/>
    <mergeCell ref="C625:C627"/>
    <mergeCell ref="C616:C618"/>
    <mergeCell ref="C619:C621"/>
    <mergeCell ref="C650:C652"/>
    <mergeCell ref="B653:B655"/>
    <mergeCell ref="C622:C624"/>
    <mergeCell ref="B676:B678"/>
    <mergeCell ref="C676:C678"/>
    <mergeCell ref="A673:A675"/>
    <mergeCell ref="C673:C675"/>
    <mergeCell ref="C639:C641"/>
    <mergeCell ref="B639:B641"/>
    <mergeCell ref="C653:C655"/>
    <mergeCell ref="B650:B652"/>
    <mergeCell ref="A613:A630"/>
    <mergeCell ref="A650:A655"/>
    <mergeCell ref="A637:A638"/>
    <mergeCell ref="A642:A645"/>
    <mergeCell ref="A646:A649"/>
    <mergeCell ref="C628:C630"/>
    <mergeCell ref="C613:C615"/>
    <mergeCell ref="A676:A684"/>
    <mergeCell ref="B619:B621"/>
    <mergeCell ref="B622:B624"/>
    <mergeCell ref="C706:C707"/>
    <mergeCell ref="D706:D707"/>
    <mergeCell ref="E706:E707"/>
    <mergeCell ref="G706:G707"/>
    <mergeCell ref="F706:F707"/>
    <mergeCell ref="D700:D702"/>
    <mergeCell ref="B703:B705"/>
    <mergeCell ref="B688:B690"/>
    <mergeCell ref="C688:C690"/>
    <mergeCell ref="C700:C702"/>
    <mergeCell ref="C697:C698"/>
    <mergeCell ref="D697:D698"/>
    <mergeCell ref="E697:E698"/>
    <mergeCell ref="B691:B693"/>
    <mergeCell ref="C691:C693"/>
    <mergeCell ref="D691:D693"/>
    <mergeCell ref="D703:D704"/>
    <mergeCell ref="E703:E704"/>
    <mergeCell ref="F703:F704"/>
    <mergeCell ref="A185:A186"/>
    <mergeCell ref="A130:A131"/>
    <mergeCell ref="A266:A268"/>
    <mergeCell ref="A484:A485"/>
    <mergeCell ref="A506:A507"/>
    <mergeCell ref="A504:A505"/>
    <mergeCell ref="A472:A473"/>
    <mergeCell ref="A468:A469"/>
    <mergeCell ref="A237:A245"/>
    <mergeCell ref="A207:A210"/>
    <mergeCell ref="A197:A198"/>
    <mergeCell ref="A215:A216"/>
    <mergeCell ref="A217:A218"/>
    <mergeCell ref="A144:A145"/>
    <mergeCell ref="A297:A300"/>
    <mergeCell ref="A293:A296"/>
    <mergeCell ref="A195:A196"/>
    <mergeCell ref="A165:A166"/>
    <mergeCell ref="A167:A168"/>
    <mergeCell ref="A429:A439"/>
    <mergeCell ref="A466:A467"/>
    <mergeCell ref="A456:A459"/>
    <mergeCell ref="A476:A483"/>
    <mergeCell ref="A360:A362"/>
    <mergeCell ref="D622:D624"/>
    <mergeCell ref="J671:J672"/>
    <mergeCell ref="F619:F621"/>
    <mergeCell ref="E613:E615"/>
    <mergeCell ref="F613:F615"/>
    <mergeCell ref="D650:D652"/>
    <mergeCell ref="E650:E652"/>
    <mergeCell ref="F650:F652"/>
    <mergeCell ref="D653:D655"/>
    <mergeCell ref="E653:E655"/>
    <mergeCell ref="F653:F655"/>
    <mergeCell ref="E616:E618"/>
    <mergeCell ref="F616:F618"/>
    <mergeCell ref="E622:E624"/>
    <mergeCell ref="E625:E627"/>
    <mergeCell ref="D625:D627"/>
    <mergeCell ref="E619:E621"/>
    <mergeCell ref="D619:D621"/>
    <mergeCell ref="D639:D641"/>
    <mergeCell ref="E639:E641"/>
    <mergeCell ref="F639:F641"/>
    <mergeCell ref="A14:A15"/>
    <mergeCell ref="A21:A22"/>
    <mergeCell ref="A16:A17"/>
    <mergeCell ref="A163:A164"/>
    <mergeCell ref="A99:A100"/>
    <mergeCell ref="A61:A62"/>
    <mergeCell ref="A65:A66"/>
    <mergeCell ref="A79:A80"/>
    <mergeCell ref="A63:A64"/>
    <mergeCell ref="A77:A78"/>
    <mergeCell ref="A97:A98"/>
    <mergeCell ref="A49:A50"/>
    <mergeCell ref="A51:A58"/>
    <mergeCell ref="A59:A60"/>
    <mergeCell ref="A67:A74"/>
    <mergeCell ref="A75:A76"/>
    <mergeCell ref="A81:A82"/>
    <mergeCell ref="A83:A90"/>
    <mergeCell ref="A41:A42"/>
    <mergeCell ref="A18:A19"/>
    <mergeCell ref="A104:A105"/>
    <mergeCell ref="A128:A129"/>
    <mergeCell ref="A132:A141"/>
    <mergeCell ref="A23:A30"/>
    <mergeCell ref="R766:S766"/>
    <mergeCell ref="H741:H742"/>
    <mergeCell ref="G741:G742"/>
    <mergeCell ref="I741:I742"/>
    <mergeCell ref="A730:A731"/>
    <mergeCell ref="A732:A733"/>
    <mergeCell ref="A741:A743"/>
    <mergeCell ref="B766:B767"/>
    <mergeCell ref="C766:C767"/>
    <mergeCell ref="J766:J767"/>
    <mergeCell ref="N751:N752"/>
    <mergeCell ref="O766:P766"/>
    <mergeCell ref="A746:A752"/>
    <mergeCell ref="A744:A745"/>
    <mergeCell ref="F741:F742"/>
    <mergeCell ref="A736:A740"/>
    <mergeCell ref="B730:B731"/>
    <mergeCell ref="N753:N754"/>
    <mergeCell ref="N755:N756"/>
    <mergeCell ref="N757:N759"/>
    <mergeCell ref="N749:N750"/>
    <mergeCell ref="N746:N748"/>
    <mergeCell ref="N741:N743"/>
    <mergeCell ref="B732:B733"/>
    <mergeCell ref="R671:S671"/>
    <mergeCell ref="D596:D598"/>
    <mergeCell ref="N661:N662"/>
    <mergeCell ref="N650:N652"/>
    <mergeCell ref="E596:E598"/>
    <mergeCell ref="R610:R611"/>
    <mergeCell ref="O610:O611"/>
    <mergeCell ref="P610:P611"/>
    <mergeCell ref="F625:F627"/>
    <mergeCell ref="N644:N645"/>
    <mergeCell ref="Q610:Q611"/>
    <mergeCell ref="M610:M611"/>
    <mergeCell ref="N604:N606"/>
    <mergeCell ref="N607:N609"/>
    <mergeCell ref="N610:N612"/>
    <mergeCell ref="N646:N647"/>
    <mergeCell ref="N648:N649"/>
    <mergeCell ref="D610:D612"/>
    <mergeCell ref="D616:D618"/>
    <mergeCell ref="N601:N603"/>
    <mergeCell ref="D628:D630"/>
    <mergeCell ref="E628:E630"/>
    <mergeCell ref="F628:F630"/>
    <mergeCell ref="D613:D615"/>
    <mergeCell ref="H610:H611"/>
    <mergeCell ref="I610:I611"/>
    <mergeCell ref="J610:J611"/>
    <mergeCell ref="K610:K611"/>
    <mergeCell ref="L610:L611"/>
    <mergeCell ref="D349:D350"/>
    <mergeCell ref="G610:G611"/>
    <mergeCell ref="F360:F361"/>
    <mergeCell ref="R261:S261"/>
    <mergeCell ref="R339:S339"/>
    <mergeCell ref="J261:J262"/>
    <mergeCell ref="R307:S307"/>
    <mergeCell ref="N341:N342"/>
    <mergeCell ref="N346:N347"/>
    <mergeCell ref="N319:N320"/>
    <mergeCell ref="E319:E320"/>
    <mergeCell ref="F316:F318"/>
    <mergeCell ref="D341:D342"/>
    <mergeCell ref="E341:E342"/>
    <mergeCell ref="N316:N318"/>
    <mergeCell ref="N363:N364"/>
    <mergeCell ref="N596:N598"/>
    <mergeCell ref="D601:D603"/>
    <mergeCell ref="F596:F598"/>
    <mergeCell ref="B263:B265"/>
    <mergeCell ref="N277:N278"/>
    <mergeCell ref="J339:J340"/>
    <mergeCell ref="D269:D271"/>
    <mergeCell ref="E269:E271"/>
    <mergeCell ref="F269:F271"/>
    <mergeCell ref="N263:N265"/>
    <mergeCell ref="N266:N268"/>
    <mergeCell ref="C263:C265"/>
    <mergeCell ref="F266:F268"/>
    <mergeCell ref="E266:E268"/>
    <mergeCell ref="D263:D265"/>
    <mergeCell ref="E263:E265"/>
    <mergeCell ref="F263:F265"/>
    <mergeCell ref="B307:B308"/>
    <mergeCell ref="F324:F325"/>
    <mergeCell ref="N269:N271"/>
    <mergeCell ref="B339:B340"/>
    <mergeCell ref="J307:J308"/>
    <mergeCell ref="D266:D268"/>
    <mergeCell ref="N272:N274"/>
    <mergeCell ref="N275:N276"/>
    <mergeCell ref="B272:B274"/>
    <mergeCell ref="C272:C274"/>
    <mergeCell ref="R1042:S1042"/>
    <mergeCell ref="A567:A568"/>
    <mergeCell ref="A569:A570"/>
    <mergeCell ref="A571:A573"/>
    <mergeCell ref="A574:A575"/>
    <mergeCell ref="A557:A558"/>
    <mergeCell ref="A559:A560"/>
    <mergeCell ref="A561:A562"/>
    <mergeCell ref="A563:A564"/>
    <mergeCell ref="A565:A566"/>
    <mergeCell ref="F622:F624"/>
    <mergeCell ref="R842:S842"/>
    <mergeCell ref="R953:S953"/>
    <mergeCell ref="A753:A759"/>
    <mergeCell ref="D604:D606"/>
    <mergeCell ref="E604:E606"/>
    <mergeCell ref="F604:F606"/>
    <mergeCell ref="N653:N655"/>
    <mergeCell ref="N599:N600"/>
    <mergeCell ref="C596:C598"/>
    <mergeCell ref="E607:E609"/>
    <mergeCell ref="F607:F609"/>
    <mergeCell ref="C610:C612"/>
    <mergeCell ref="C601:C603"/>
    <mergeCell ref="A604:A612"/>
    <mergeCell ref="A425:A426"/>
    <mergeCell ref="B356:B357"/>
    <mergeCell ref="A263:A265"/>
    <mergeCell ref="A213:A214"/>
    <mergeCell ref="A356:A357"/>
    <mergeCell ref="A219:A220"/>
    <mergeCell ref="A231:A233"/>
    <mergeCell ref="A199:A200"/>
    <mergeCell ref="A201:A202"/>
    <mergeCell ref="A203:A204"/>
    <mergeCell ref="A384:A385"/>
    <mergeCell ref="A279:A284"/>
    <mergeCell ref="A380:A381"/>
    <mergeCell ref="A492:A503"/>
    <mergeCell ref="A486:A487"/>
    <mergeCell ref="B321:B323"/>
    <mergeCell ref="A228:A230"/>
    <mergeCell ref="A205:A206"/>
    <mergeCell ref="A387:A388"/>
    <mergeCell ref="A397:A398"/>
    <mergeCell ref="A508:A509"/>
    <mergeCell ref="A378:A379"/>
    <mergeCell ref="A488:A489"/>
    <mergeCell ref="A363:A368"/>
    <mergeCell ref="A389:A396"/>
    <mergeCell ref="A399:A400"/>
    <mergeCell ref="A407:A416"/>
    <mergeCell ref="A287:A292"/>
    <mergeCell ref="A419:A420"/>
    <mergeCell ref="A440:A441"/>
    <mergeCell ref="A421:A422"/>
    <mergeCell ref="A423:A424"/>
    <mergeCell ref="A311:A313"/>
    <mergeCell ref="A309:A310"/>
    <mergeCell ref="A275:A278"/>
    <mergeCell ref="A269:A274"/>
    <mergeCell ref="A246:A254"/>
    <mergeCell ref="A175:A176"/>
    <mergeCell ref="A211:A212"/>
    <mergeCell ref="A193:A194"/>
    <mergeCell ref="A405:A406"/>
    <mergeCell ref="A401:A402"/>
    <mergeCell ref="C594:C595"/>
    <mergeCell ref="A514:A515"/>
    <mergeCell ref="A474:A475"/>
    <mergeCell ref="A403:A404"/>
    <mergeCell ref="A578:A579"/>
    <mergeCell ref="A470:A471"/>
    <mergeCell ref="A549:A550"/>
    <mergeCell ref="C269:C271"/>
    <mergeCell ref="A285:A286"/>
    <mergeCell ref="A316:A323"/>
    <mergeCell ref="A349:A355"/>
    <mergeCell ref="A358:A359"/>
    <mergeCell ref="A346:A348"/>
    <mergeCell ref="A344:A345"/>
    <mergeCell ref="A382:A383"/>
    <mergeCell ref="B269:B271"/>
    <mergeCell ref="A510:A511"/>
    <mergeCell ref="A512:A513"/>
    <mergeCell ref="A490:A491"/>
    <mergeCell ref="G12:I12"/>
    <mergeCell ref="A596:A603"/>
    <mergeCell ref="A541:A542"/>
    <mergeCell ref="A582:A585"/>
    <mergeCell ref="A516:A524"/>
    <mergeCell ref="A529:A530"/>
    <mergeCell ref="A527:A528"/>
    <mergeCell ref="A444:A445"/>
    <mergeCell ref="A594:A595"/>
    <mergeCell ref="A446:A455"/>
    <mergeCell ref="A525:A526"/>
    <mergeCell ref="A535:A536"/>
    <mergeCell ref="A580:A581"/>
    <mergeCell ref="A537:A540"/>
    <mergeCell ref="A533:A534"/>
    <mergeCell ref="A531:A532"/>
    <mergeCell ref="A551:A552"/>
    <mergeCell ref="A553:A554"/>
    <mergeCell ref="A555:A556"/>
    <mergeCell ref="A417:A418"/>
    <mergeCell ref="A442:A443"/>
    <mergeCell ref="A191:A192"/>
    <mergeCell ref="A12:A13"/>
    <mergeCell ref="C12:C13"/>
    <mergeCell ref="D12:D13"/>
    <mergeCell ref="E12:E13"/>
    <mergeCell ref="A189:A190"/>
    <mergeCell ref="A161:A162"/>
    <mergeCell ref="A142:A143"/>
    <mergeCell ref="A187:A188"/>
    <mergeCell ref="A148:A149"/>
    <mergeCell ref="A169:A174"/>
    <mergeCell ref="B183:B184"/>
    <mergeCell ref="A150:A160"/>
    <mergeCell ref="A31:A40"/>
    <mergeCell ref="A122:A123"/>
    <mergeCell ref="B97:B98"/>
    <mergeCell ref="A146:A147"/>
    <mergeCell ref="A43:A44"/>
    <mergeCell ref="A45:A46"/>
    <mergeCell ref="A106:A113"/>
    <mergeCell ref="A114:A121"/>
    <mergeCell ref="A126:A127"/>
    <mergeCell ref="A47:A48"/>
    <mergeCell ref="A101:A102"/>
    <mergeCell ref="B252:B254"/>
    <mergeCell ref="N231:N233"/>
    <mergeCell ref="O12:Q12"/>
    <mergeCell ref="L12:L13"/>
    <mergeCell ref="R97:S97"/>
    <mergeCell ref="N228:N230"/>
    <mergeCell ref="N237:N239"/>
    <mergeCell ref="M12:M13"/>
    <mergeCell ref="R12:S12"/>
    <mergeCell ref="R183:S183"/>
    <mergeCell ref="R227:S227"/>
    <mergeCell ref="N234:N236"/>
    <mergeCell ref="J97:J98"/>
    <mergeCell ref="C97:C98"/>
    <mergeCell ref="O97:Q97"/>
    <mergeCell ref="J183:J184"/>
    <mergeCell ref="J12:J13"/>
    <mergeCell ref="G97:I97"/>
    <mergeCell ref="F97:F98"/>
    <mergeCell ref="F12:F13"/>
    <mergeCell ref="B12:B13"/>
    <mergeCell ref="D97:D98"/>
    <mergeCell ref="D228:D230"/>
    <mergeCell ref="E237:E239"/>
    <mergeCell ref="E97:E98"/>
    <mergeCell ref="C246:C248"/>
    <mergeCell ref="D246:D248"/>
    <mergeCell ref="E246:E248"/>
    <mergeCell ref="D243:D245"/>
    <mergeCell ref="F246:F248"/>
    <mergeCell ref="F240:F242"/>
    <mergeCell ref="E228:E230"/>
    <mergeCell ref="F228:F230"/>
    <mergeCell ref="C231:C233"/>
    <mergeCell ref="D231:D233"/>
    <mergeCell ref="E231:E233"/>
    <mergeCell ref="F231:F233"/>
    <mergeCell ref="C237:C239"/>
    <mergeCell ref="D237:D239"/>
    <mergeCell ref="C228:C230"/>
    <mergeCell ref="N240:N242"/>
    <mergeCell ref="E234:E236"/>
    <mergeCell ref="F234:F236"/>
    <mergeCell ref="N246:N248"/>
    <mergeCell ref="N249:N251"/>
    <mergeCell ref="F243:F245"/>
    <mergeCell ref="N243:N245"/>
    <mergeCell ref="E243:E245"/>
    <mergeCell ref="E249:E251"/>
    <mergeCell ref="F249:F251"/>
    <mergeCell ref="F237:F239"/>
    <mergeCell ref="N279:N281"/>
    <mergeCell ref="N282:N284"/>
    <mergeCell ref="N285:N286"/>
    <mergeCell ref="N287:N289"/>
    <mergeCell ref="C287:C289"/>
    <mergeCell ref="D287:D289"/>
    <mergeCell ref="N252:N254"/>
    <mergeCell ref="E252:E254"/>
    <mergeCell ref="F252:F254"/>
    <mergeCell ref="C252:C254"/>
    <mergeCell ref="D252:D254"/>
    <mergeCell ref="B287:B289"/>
    <mergeCell ref="E287:E289"/>
    <mergeCell ref="F287:F289"/>
    <mergeCell ref="D319:D320"/>
    <mergeCell ref="B311:B313"/>
    <mergeCell ref="C311:C313"/>
    <mergeCell ref="D311:D313"/>
    <mergeCell ref="F311:F313"/>
    <mergeCell ref="E272:E274"/>
    <mergeCell ref="F272:F274"/>
    <mergeCell ref="G771:G773"/>
    <mergeCell ref="H771:H773"/>
    <mergeCell ref="I771:I773"/>
    <mergeCell ref="B671:B672"/>
    <mergeCell ref="E691:E693"/>
    <mergeCell ref="F691:F693"/>
    <mergeCell ref="D709:D711"/>
    <mergeCell ref="E709:E711"/>
    <mergeCell ref="F709:F711"/>
    <mergeCell ref="C741:C742"/>
    <mergeCell ref="D741:D742"/>
    <mergeCell ref="E741:E742"/>
    <mergeCell ref="D766:D767"/>
    <mergeCell ref="E688:E690"/>
    <mergeCell ref="B682:B684"/>
    <mergeCell ref="C682:C684"/>
    <mergeCell ref="D688:D690"/>
    <mergeCell ref="D676:D678"/>
    <mergeCell ref="E676:E678"/>
    <mergeCell ref="I706:I707"/>
    <mergeCell ref="E685:E686"/>
    <mergeCell ref="F685:F686"/>
    <mergeCell ref="D685:D686"/>
    <mergeCell ref="B673:B675"/>
    <mergeCell ref="E610:E612"/>
    <mergeCell ref="N656:N658"/>
    <mergeCell ref="N659:N660"/>
    <mergeCell ref="N290:N292"/>
    <mergeCell ref="N293:N294"/>
    <mergeCell ref="N295:N296"/>
    <mergeCell ref="N297:N298"/>
    <mergeCell ref="N299:N300"/>
    <mergeCell ref="N637:N638"/>
    <mergeCell ref="N642:N643"/>
    <mergeCell ref="N358:N359"/>
    <mergeCell ref="N360:N362"/>
    <mergeCell ref="N365:N366"/>
    <mergeCell ref="N367:N368"/>
    <mergeCell ref="N628:N630"/>
    <mergeCell ref="N616:N618"/>
    <mergeCell ref="N619:N621"/>
    <mergeCell ref="N622:N624"/>
    <mergeCell ref="N625:N627"/>
    <mergeCell ref="N351:N352"/>
    <mergeCell ref="N330:N332"/>
    <mergeCell ref="N613:N615"/>
    <mergeCell ref="N309:N310"/>
    <mergeCell ref="E311:E313"/>
    <mergeCell ref="N311:N313"/>
    <mergeCell ref="A324:A332"/>
    <mergeCell ref="N324:N326"/>
    <mergeCell ref="C327:C329"/>
    <mergeCell ref="D327:D329"/>
    <mergeCell ref="E327:E329"/>
    <mergeCell ref="F327:F329"/>
    <mergeCell ref="N327:N329"/>
    <mergeCell ref="B330:B332"/>
    <mergeCell ref="N314:N315"/>
    <mergeCell ref="A314:A315"/>
    <mergeCell ref="B319:B320"/>
    <mergeCell ref="B324:B326"/>
    <mergeCell ref="B327:B329"/>
    <mergeCell ref="C316:C318"/>
    <mergeCell ref="D316:D318"/>
    <mergeCell ref="E316:E318"/>
    <mergeCell ref="C324:C325"/>
    <mergeCell ref="D324:D325"/>
    <mergeCell ref="E324:E325"/>
    <mergeCell ref="C330:C332"/>
    <mergeCell ref="F319:F320"/>
    <mergeCell ref="C319:C320"/>
    <mergeCell ref="C321:C323"/>
    <mergeCell ref="N688:N690"/>
    <mergeCell ref="F688:F690"/>
    <mergeCell ref="N718:N719"/>
    <mergeCell ref="N685:N687"/>
    <mergeCell ref="D682:D684"/>
    <mergeCell ref="E682:E684"/>
    <mergeCell ref="F682:F684"/>
    <mergeCell ref="N682:N684"/>
    <mergeCell ref="N706:N707"/>
    <mergeCell ref="H706:H707"/>
    <mergeCell ref="N697:N699"/>
    <mergeCell ref="G703:G704"/>
    <mergeCell ref="H703:H704"/>
    <mergeCell ref="I703:I704"/>
    <mergeCell ref="N703:N704"/>
    <mergeCell ref="F697:F698"/>
    <mergeCell ref="G697:G698"/>
    <mergeCell ref="H697:H698"/>
    <mergeCell ref="N691:N693"/>
    <mergeCell ref="N694:N696"/>
    <mergeCell ref="I697:I698"/>
    <mergeCell ref="D694:D696"/>
    <mergeCell ref="E694:E696"/>
    <mergeCell ref="F694:F696"/>
    <mergeCell ref="D673:D675"/>
    <mergeCell ref="E673:E675"/>
    <mergeCell ref="F673:F675"/>
    <mergeCell ref="N673:N675"/>
    <mergeCell ref="B679:B681"/>
    <mergeCell ref="C679:C681"/>
    <mergeCell ref="D679:D681"/>
    <mergeCell ref="E679:E681"/>
    <mergeCell ref="F679:F681"/>
    <mergeCell ref="N679:N681"/>
    <mergeCell ref="N676:N678"/>
    <mergeCell ref="F676:F678"/>
    <mergeCell ref="C685:C686"/>
    <mergeCell ref="B694:B696"/>
    <mergeCell ref="C694:C696"/>
    <mergeCell ref="B685:B687"/>
    <mergeCell ref="B616:B618"/>
    <mergeCell ref="N712:N713"/>
    <mergeCell ref="A694:A708"/>
    <mergeCell ref="B718:B720"/>
    <mergeCell ref="B715:B717"/>
    <mergeCell ref="C715:C716"/>
    <mergeCell ref="D715:D716"/>
    <mergeCell ref="E715:E716"/>
    <mergeCell ref="F715:F716"/>
    <mergeCell ref="N715:N716"/>
    <mergeCell ref="B706:B708"/>
    <mergeCell ref="B712:B714"/>
    <mergeCell ref="C712:C713"/>
    <mergeCell ref="D712:D713"/>
    <mergeCell ref="E712:E713"/>
    <mergeCell ref="F712:F713"/>
    <mergeCell ref="E700:E702"/>
    <mergeCell ref="F700:F702"/>
    <mergeCell ref="N700:N702"/>
    <mergeCell ref="C703:C704"/>
    <mergeCell ref="B663:B664"/>
    <mergeCell ref="B697:B699"/>
    <mergeCell ref="B700:B702"/>
    <mergeCell ref="A656:A660"/>
    <mergeCell ref="A661:A664"/>
    <mergeCell ref="B736:B738"/>
    <mergeCell ref="B739:B740"/>
    <mergeCell ref="A685:A693"/>
    <mergeCell ref="B637:B638"/>
    <mergeCell ref="B642:B643"/>
    <mergeCell ref="B644:B645"/>
    <mergeCell ref="B646:B647"/>
    <mergeCell ref="B648:B649"/>
    <mergeCell ref="B656:B658"/>
    <mergeCell ref="B659:B660"/>
    <mergeCell ref="B661:B662"/>
    <mergeCell ref="B741:B743"/>
    <mergeCell ref="B744:B745"/>
    <mergeCell ref="B746:B748"/>
    <mergeCell ref="N721:N722"/>
    <mergeCell ref="A709:A723"/>
    <mergeCell ref="N709:N711"/>
    <mergeCell ref="N736:N737"/>
    <mergeCell ref="C718:C719"/>
    <mergeCell ref="D718:D719"/>
    <mergeCell ref="E718:E719"/>
    <mergeCell ref="F718:F719"/>
    <mergeCell ref="B709:B711"/>
    <mergeCell ref="C709:C711"/>
    <mergeCell ref="B721:B723"/>
    <mergeCell ref="C721:C722"/>
    <mergeCell ref="D721:D722"/>
    <mergeCell ref="E721:E722"/>
    <mergeCell ref="F721:F722"/>
    <mergeCell ref="A734:A735"/>
    <mergeCell ref="B734:B735"/>
    <mergeCell ref="B749:B750"/>
    <mergeCell ref="B751:B752"/>
    <mergeCell ref="B753:B754"/>
    <mergeCell ref="B755:B756"/>
    <mergeCell ref="B757:B759"/>
    <mergeCell ref="B341:B343"/>
    <mergeCell ref="A341:A343"/>
    <mergeCell ref="B344:B345"/>
    <mergeCell ref="B346:B348"/>
    <mergeCell ref="B349:B350"/>
    <mergeCell ref="B351:B353"/>
    <mergeCell ref="B354:B355"/>
    <mergeCell ref="B358:B359"/>
    <mergeCell ref="B360:B362"/>
    <mergeCell ref="B363:B364"/>
    <mergeCell ref="B365:B366"/>
    <mergeCell ref="B367:B368"/>
    <mergeCell ref="B594:B595"/>
    <mergeCell ref="B599:B600"/>
    <mergeCell ref="B601:B603"/>
    <mergeCell ref="B604:B606"/>
    <mergeCell ref="B607:B609"/>
    <mergeCell ref="B610:B612"/>
    <mergeCell ref="B613:B615"/>
    <mergeCell ref="B228:B230"/>
    <mergeCell ref="B231:B233"/>
    <mergeCell ref="B237:B239"/>
    <mergeCell ref="A234:A236"/>
    <mergeCell ref="B234:B236"/>
    <mergeCell ref="C234:C236"/>
    <mergeCell ref="D234:D236"/>
    <mergeCell ref="C249:C251"/>
    <mergeCell ref="D249:D251"/>
    <mergeCell ref="C243:C245"/>
    <mergeCell ref="B625:B627"/>
    <mergeCell ref="B628:B630"/>
    <mergeCell ref="B243:B245"/>
    <mergeCell ref="B240:B242"/>
    <mergeCell ref="C240:C242"/>
    <mergeCell ref="D240:D242"/>
    <mergeCell ref="E240:E242"/>
    <mergeCell ref="B275:B276"/>
    <mergeCell ref="B277:B278"/>
    <mergeCell ref="B279:B281"/>
    <mergeCell ref="B282:B284"/>
    <mergeCell ref="B285:B286"/>
    <mergeCell ref="B290:B292"/>
    <mergeCell ref="B293:B294"/>
    <mergeCell ref="B295:B296"/>
    <mergeCell ref="B297:B298"/>
    <mergeCell ref="B299:B300"/>
    <mergeCell ref="D272:D274"/>
    <mergeCell ref="B316:B318"/>
    <mergeCell ref="B261:B262"/>
    <mergeCell ref="B266:B268"/>
    <mergeCell ref="C266:C268"/>
    <mergeCell ref="B246:B248"/>
    <mergeCell ref="B249:B25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horizontalDpi="0" verticalDpi="0" r:id="rId1"/>
  <rowBreaks count="22" manualBreakCount="22">
    <brk id="34" max="18" man="1"/>
    <brk id="91" max="16383" man="1"/>
    <brk id="124" max="16383" man="1"/>
    <brk id="158" max="16383" man="1"/>
    <brk id="191" max="16383" man="1"/>
    <brk id="221" max="16383" man="1"/>
    <brk id="255" max="16383" man="1"/>
    <brk id="286" max="16383" man="1"/>
    <brk id="323" max="16383" man="1"/>
    <brk id="355" max="16383" man="1"/>
    <brk id="388" max="16383" man="1"/>
    <brk id="420" max="16383" man="1"/>
    <brk id="460" max="16383" man="1"/>
    <brk id="493" max="16383" man="1"/>
    <brk id="526" max="16383" man="1"/>
    <brk id="558" max="16383" man="1"/>
    <brk id="586" max="16383" man="1"/>
    <brk id="631" max="16383" man="1"/>
    <brk id="665" max="16383" man="1"/>
    <brk id="705" max="16383" man="1"/>
    <brk id="735" max="16383" man="1"/>
    <brk id="7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2"/>
  <sheetViews>
    <sheetView topLeftCell="A61" workbookViewId="0">
      <selection activeCell="AG95" sqref="AG95"/>
    </sheetView>
  </sheetViews>
  <sheetFormatPr defaultColWidth="9.5703125" defaultRowHeight="15" x14ac:dyDescent="0.25"/>
  <cols>
    <col min="2" max="2" width="27.140625" bestFit="1" customWidth="1"/>
    <col min="4" max="4" width="9.85546875" customWidth="1"/>
    <col min="5" max="12" width="2.85546875" customWidth="1"/>
    <col min="15" max="21" width="0" hidden="1" customWidth="1"/>
  </cols>
  <sheetData>
    <row r="1" spans="1:31" s="1" customFormat="1" ht="18.75" x14ac:dyDescent="0.3">
      <c r="A1" s="194" t="s">
        <v>211</v>
      </c>
      <c r="B1" s="193"/>
      <c r="C1" s="193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X1" s="77"/>
      <c r="Y1" s="77"/>
    </row>
    <row r="2" spans="1:31" s="1" customFormat="1" ht="7.5" customHeight="1" x14ac:dyDescent="0.3">
      <c r="A2" s="194"/>
      <c r="B2" s="193"/>
      <c r="C2" s="193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X2" s="77"/>
      <c r="Y2" s="77"/>
    </row>
    <row r="3" spans="1:31" s="1" customFormat="1" ht="18.75" x14ac:dyDescent="0.3">
      <c r="A3" s="193" t="s">
        <v>212</v>
      </c>
      <c r="B3" s="193"/>
      <c r="C3" s="193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X3" s="77"/>
      <c r="Y3" s="77"/>
    </row>
    <row r="4" spans="1:31" s="1" customFormat="1" ht="12.75" customHeight="1" x14ac:dyDescent="0.25">
      <c r="A4" s="570" t="s">
        <v>213</v>
      </c>
      <c r="B4" s="570" t="s">
        <v>214</v>
      </c>
      <c r="C4" s="571" t="s">
        <v>215</v>
      </c>
      <c r="D4" s="573" t="s">
        <v>216</v>
      </c>
      <c r="E4" s="574" t="s">
        <v>217</v>
      </c>
      <c r="F4" s="575"/>
      <c r="G4" s="575"/>
      <c r="H4" s="575"/>
      <c r="I4" s="576"/>
      <c r="J4" s="576"/>
      <c r="K4" s="576"/>
      <c r="L4" s="577"/>
      <c r="M4" s="258" t="s">
        <v>218</v>
      </c>
      <c r="N4" s="548" t="s">
        <v>219</v>
      </c>
      <c r="O4" s="561" t="s">
        <v>220</v>
      </c>
      <c r="P4" s="562"/>
      <c r="Q4" s="562"/>
      <c r="R4" s="562"/>
      <c r="S4" s="562"/>
      <c r="T4" s="562"/>
      <c r="U4" s="563"/>
      <c r="V4" s="258" t="s">
        <v>218</v>
      </c>
      <c r="W4" s="548" t="s">
        <v>221</v>
      </c>
      <c r="X4" s="564" t="s">
        <v>222</v>
      </c>
      <c r="Y4" s="566" t="s">
        <v>223</v>
      </c>
      <c r="Z4" s="568" t="s">
        <v>224</v>
      </c>
      <c r="AA4" s="566" t="s">
        <v>223</v>
      </c>
      <c r="AB4" s="548" t="s">
        <v>225</v>
      </c>
      <c r="AC4" s="548" t="s">
        <v>226</v>
      </c>
      <c r="AD4" s="550" t="s">
        <v>227</v>
      </c>
      <c r="AE4" s="551"/>
    </row>
    <row r="5" spans="1:31" s="1" customFormat="1" ht="165.75" x14ac:dyDescent="0.25">
      <c r="A5" s="570"/>
      <c r="B5" s="570"/>
      <c r="C5" s="572"/>
      <c r="D5" s="573"/>
      <c r="E5" s="258" t="s">
        <v>228</v>
      </c>
      <c r="F5" s="258" t="s">
        <v>234</v>
      </c>
      <c r="G5" s="255" t="s">
        <v>283</v>
      </c>
      <c r="H5" s="255" t="s">
        <v>398</v>
      </c>
      <c r="I5" s="255" t="s">
        <v>376</v>
      </c>
      <c r="J5" s="255" t="s">
        <v>375</v>
      </c>
      <c r="K5" s="258" t="s">
        <v>230</v>
      </c>
      <c r="L5" s="258" t="s">
        <v>231</v>
      </c>
      <c r="M5" s="259" t="s">
        <v>17</v>
      </c>
      <c r="N5" s="549"/>
      <c r="O5" s="258" t="s">
        <v>229</v>
      </c>
      <c r="P5" s="258" t="s">
        <v>232</v>
      </c>
      <c r="Q5" s="258" t="s">
        <v>228</v>
      </c>
      <c r="R5" s="258" t="s">
        <v>233</v>
      </c>
      <c r="S5" s="258" t="s">
        <v>234</v>
      </c>
      <c r="T5" s="258" t="s">
        <v>231</v>
      </c>
      <c r="U5" s="258" t="s">
        <v>230</v>
      </c>
      <c r="V5" s="259" t="s">
        <v>18</v>
      </c>
      <c r="W5" s="549"/>
      <c r="X5" s="565"/>
      <c r="Y5" s="567"/>
      <c r="Z5" s="569"/>
      <c r="AA5" s="567"/>
      <c r="AB5" s="549"/>
      <c r="AC5" s="549"/>
      <c r="AD5" s="78" t="s">
        <v>235</v>
      </c>
      <c r="AE5" s="78" t="s">
        <v>236</v>
      </c>
    </row>
    <row r="6" spans="1:31" s="1" customFormat="1" x14ac:dyDescent="0.25">
      <c r="A6" s="79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2"/>
    </row>
    <row r="7" spans="1:31" s="1" customFormat="1" x14ac:dyDescent="0.25">
      <c r="A7" s="552">
        <v>1</v>
      </c>
      <c r="B7" s="554" t="s">
        <v>243</v>
      </c>
      <c r="C7" s="83" t="s">
        <v>237</v>
      </c>
      <c r="D7" s="84">
        <v>3</v>
      </c>
      <c r="E7" s="85"/>
      <c r="F7" s="85"/>
      <c r="G7" s="85"/>
      <c r="H7" s="85"/>
      <c r="I7" s="118"/>
      <c r="J7" s="85"/>
      <c r="K7" s="85"/>
      <c r="L7" s="85"/>
      <c r="M7" s="86">
        <f>SUMIF('Наставни ансамбл'!J14:J368,"Далибор Стевић",'Наставни ансамбл'!G14:G368)</f>
        <v>15</v>
      </c>
      <c r="N7" s="87">
        <f>SUM(E7:M7)</f>
        <v>15</v>
      </c>
      <c r="O7" s="85"/>
      <c r="P7" s="85"/>
      <c r="Q7" s="85"/>
      <c r="R7" s="85"/>
      <c r="S7" s="85"/>
      <c r="T7" s="85"/>
      <c r="U7" s="85"/>
      <c r="V7" s="88">
        <f>SUMIF('Наставни ансамбл'!J14:J368,"Далибор Стевић",'Наставни ансамбл'!H14:H368)</f>
        <v>0</v>
      </c>
      <c r="W7" s="87">
        <f t="shared" ref="W7:W36" si="0">SUM(O7,P7,Q7,R7,V7,U7)</f>
        <v>0</v>
      </c>
      <c r="X7" s="84">
        <f t="shared" ref="X7:X26" si="1">N7+(W7*0.6)</f>
        <v>15</v>
      </c>
      <c r="Y7" s="89">
        <f t="shared" ref="Y7:Y44" si="2">X7/D7*100</f>
        <v>500</v>
      </c>
      <c r="Z7" s="556">
        <f>(X7+X8)/2</f>
        <v>13</v>
      </c>
      <c r="AA7" s="558">
        <f>Z7/D7*100</f>
        <v>433.33333333333331</v>
      </c>
      <c r="AB7" s="556">
        <f>IF(Z7&lt;=D7,Z7,D7)</f>
        <v>3</v>
      </c>
      <c r="AC7" s="556">
        <f>IF(Z7&gt;D7,Z7-D7,0)</f>
        <v>10</v>
      </c>
      <c r="AD7" s="560">
        <v>8</v>
      </c>
      <c r="AE7" s="560">
        <v>5</v>
      </c>
    </row>
    <row r="8" spans="1:31" s="1" customFormat="1" x14ac:dyDescent="0.25">
      <c r="A8" s="553"/>
      <c r="B8" s="555"/>
      <c r="C8" s="90" t="s">
        <v>238</v>
      </c>
      <c r="D8" s="91">
        <v>3</v>
      </c>
      <c r="E8" s="140"/>
      <c r="F8" s="140"/>
      <c r="G8" s="140"/>
      <c r="H8" s="140"/>
      <c r="I8" s="201"/>
      <c r="J8" s="140"/>
      <c r="K8" s="140"/>
      <c r="L8" s="140"/>
      <c r="M8" s="86">
        <f>SUMIF('Наставни ансамбл'!J378:J759,"Далибор Стевић",'Наставни ансамбл'!G378:G759)</f>
        <v>11</v>
      </c>
      <c r="N8" s="87">
        <f t="shared" ref="N8:N46" si="3">SUM(E8:M8)</f>
        <v>11</v>
      </c>
      <c r="O8" s="85"/>
      <c r="P8" s="85"/>
      <c r="Q8" s="85"/>
      <c r="R8" s="85"/>
      <c r="S8" s="85"/>
      <c r="T8" s="85"/>
      <c r="U8" s="85"/>
      <c r="V8" s="88">
        <f>SUMIF('Наставни ансамбл'!J378:J759,"Далибор Стевић",'Наставни ансамбл'!H378:H759)</f>
        <v>0</v>
      </c>
      <c r="W8" s="87">
        <f t="shared" si="0"/>
        <v>0</v>
      </c>
      <c r="X8" s="91">
        <f t="shared" si="1"/>
        <v>11</v>
      </c>
      <c r="Y8" s="93">
        <f t="shared" si="2"/>
        <v>366.66666666666663</v>
      </c>
      <c r="Z8" s="557"/>
      <c r="AA8" s="559"/>
      <c r="AB8" s="557"/>
      <c r="AC8" s="557"/>
      <c r="AD8" s="553"/>
      <c r="AE8" s="553"/>
    </row>
    <row r="9" spans="1:31" s="1" customFormat="1" x14ac:dyDescent="0.25">
      <c r="A9" s="578">
        <v>2</v>
      </c>
      <c r="B9" s="554" t="s">
        <v>239</v>
      </c>
      <c r="C9" s="83" t="s">
        <v>237</v>
      </c>
      <c r="D9" s="84">
        <v>6</v>
      </c>
      <c r="E9" s="85"/>
      <c r="F9" s="85"/>
      <c r="G9" s="85"/>
      <c r="H9" s="85"/>
      <c r="I9" s="85"/>
      <c r="J9" s="85"/>
      <c r="K9" s="85"/>
      <c r="L9" s="85"/>
      <c r="M9" s="120">
        <f>SUMIF('Наставни ансамбл'!J14:J368,"Владо Симеуновић",'Наставни ансамбл'!G14:G368)</f>
        <v>13</v>
      </c>
      <c r="N9" s="87">
        <f t="shared" si="3"/>
        <v>13</v>
      </c>
      <c r="O9" s="85"/>
      <c r="P9" s="85"/>
      <c r="Q9" s="85"/>
      <c r="R9" s="85"/>
      <c r="S9" s="85"/>
      <c r="T9" s="85"/>
      <c r="U9" s="85"/>
      <c r="V9" s="121">
        <f>SUMIF('Наставни ансамбл'!J14:J368,"Владо Симеуновић",'Наставни ансамбл'!H14:H368)</f>
        <v>0</v>
      </c>
      <c r="W9" s="87">
        <f t="shared" si="0"/>
        <v>0</v>
      </c>
      <c r="X9" s="130">
        <f t="shared" si="1"/>
        <v>13</v>
      </c>
      <c r="Y9" s="89">
        <f t="shared" si="2"/>
        <v>216.66666666666666</v>
      </c>
      <c r="Z9" s="556">
        <f>(X9+X10)/2</f>
        <v>10.5</v>
      </c>
      <c r="AA9" s="558">
        <f>Z9/D9*100</f>
        <v>175</v>
      </c>
      <c r="AB9" s="556">
        <f>IF(Z9&lt;=D9,Z9,D9)</f>
        <v>6</v>
      </c>
      <c r="AC9" s="556">
        <f>IF(Z9&gt;D9,Z9-D9,0)</f>
        <v>4.5</v>
      </c>
      <c r="AD9" s="560">
        <v>9</v>
      </c>
      <c r="AE9" s="560">
        <v>3</v>
      </c>
    </row>
    <row r="10" spans="1:31" s="1" customFormat="1" x14ac:dyDescent="0.25">
      <c r="A10" s="579"/>
      <c r="B10" s="555"/>
      <c r="C10" s="90" t="s">
        <v>238</v>
      </c>
      <c r="D10" s="91">
        <v>6</v>
      </c>
      <c r="E10" s="140"/>
      <c r="F10" s="140"/>
      <c r="G10" s="140"/>
      <c r="H10" s="140"/>
      <c r="I10" s="140"/>
      <c r="J10" s="140"/>
      <c r="K10" s="140"/>
      <c r="L10" s="140"/>
      <c r="M10" s="120">
        <f>SUMIF('Наставни ансамбл'!J378:J759,"Владо Симеуновић",'Наставни ансамбл'!G378:G759)</f>
        <v>8</v>
      </c>
      <c r="N10" s="87">
        <f t="shared" si="3"/>
        <v>8</v>
      </c>
      <c r="O10" s="85"/>
      <c r="P10" s="85"/>
      <c r="Q10" s="85"/>
      <c r="R10" s="85"/>
      <c r="S10" s="85"/>
      <c r="T10" s="85"/>
      <c r="U10" s="85"/>
      <c r="V10" s="88">
        <f>SUMIF('Наставни ансамбл'!J378:J759,"Владо Симеуновић",'Наставни ансамбл'!H378:H759)</f>
        <v>0</v>
      </c>
      <c r="W10" s="87">
        <f t="shared" si="0"/>
        <v>0</v>
      </c>
      <c r="X10" s="91">
        <f t="shared" si="1"/>
        <v>8</v>
      </c>
      <c r="Y10" s="93">
        <f t="shared" si="2"/>
        <v>133.33333333333331</v>
      </c>
      <c r="Z10" s="557"/>
      <c r="AA10" s="559"/>
      <c r="AB10" s="557"/>
      <c r="AC10" s="557"/>
      <c r="AD10" s="553"/>
      <c r="AE10" s="553"/>
    </row>
    <row r="11" spans="1:31" s="1" customFormat="1" x14ac:dyDescent="0.25">
      <c r="A11" s="552">
        <v>3</v>
      </c>
      <c r="B11" s="580" t="s">
        <v>244</v>
      </c>
      <c r="C11" s="83" t="s">
        <v>237</v>
      </c>
      <c r="D11" s="84">
        <v>6</v>
      </c>
      <c r="E11" s="85"/>
      <c r="F11" s="85"/>
      <c r="G11" s="85"/>
      <c r="H11" s="85"/>
      <c r="I11" s="85"/>
      <c r="J11" s="85"/>
      <c r="K11" s="85"/>
      <c r="L11" s="85"/>
      <c r="M11" s="120">
        <f>SUMIF('Наставни ансамбл'!J14:J368,"Десанка Тракиловић",'Наставни ансамбл'!G14:G368)</f>
        <v>4</v>
      </c>
      <c r="N11" s="87">
        <f t="shared" si="3"/>
        <v>4</v>
      </c>
      <c r="O11" s="85"/>
      <c r="P11" s="85"/>
      <c r="Q11" s="85"/>
      <c r="R11" s="85"/>
      <c r="S11" s="85"/>
      <c r="T11" s="85"/>
      <c r="U11" s="85"/>
      <c r="V11" s="88">
        <f>SUMIF('Наставни ансамбл'!J14:J368,"Десанка Тракиловић",'Наставни ансамбл'!H14:H368)</f>
        <v>0</v>
      </c>
      <c r="W11" s="87">
        <f t="shared" si="0"/>
        <v>0</v>
      </c>
      <c r="X11" s="84">
        <f t="shared" si="1"/>
        <v>4</v>
      </c>
      <c r="Y11" s="89">
        <f t="shared" si="2"/>
        <v>66.666666666666657</v>
      </c>
      <c r="Z11" s="556">
        <f>(X11+X12)/2</f>
        <v>6.6</v>
      </c>
      <c r="AA11" s="558">
        <f>Z11/D11*100</f>
        <v>109.99999999999999</v>
      </c>
      <c r="AB11" s="556">
        <f>IF(Z11&lt;=D11,Z11,D11)</f>
        <v>6</v>
      </c>
      <c r="AC11" s="556">
        <f>IF(Z11&gt;D11,Z11-D11,0)</f>
        <v>0.59999999999999964</v>
      </c>
      <c r="AD11" s="560">
        <v>3</v>
      </c>
      <c r="AE11" s="560">
        <v>9</v>
      </c>
    </row>
    <row r="12" spans="1:31" s="1" customFormat="1" x14ac:dyDescent="0.25">
      <c r="A12" s="553"/>
      <c r="B12" s="581"/>
      <c r="C12" s="90" t="s">
        <v>238</v>
      </c>
      <c r="D12" s="91">
        <v>6</v>
      </c>
      <c r="E12" s="140"/>
      <c r="F12" s="140"/>
      <c r="G12" s="140"/>
      <c r="H12" s="140"/>
      <c r="I12" s="140"/>
      <c r="J12" s="140"/>
      <c r="K12" s="140"/>
      <c r="L12" s="140"/>
      <c r="M12" s="120">
        <f>SUMIF('Наставни ансамбл'!J378:J759,"Десанка Тракиловић",'Наставни ансамбл'!G378:G759)</f>
        <v>8</v>
      </c>
      <c r="N12" s="87">
        <f t="shared" si="3"/>
        <v>8</v>
      </c>
      <c r="O12" s="85"/>
      <c r="P12" s="85"/>
      <c r="Q12" s="85"/>
      <c r="R12" s="85"/>
      <c r="S12" s="85"/>
      <c r="T12" s="85"/>
      <c r="U12" s="85"/>
      <c r="V12" s="88">
        <f>SUMIF('Наставни ансамбл'!J378:J759,"Десанка Тракиловић",'Наставни ансамбл'!H378:H759)</f>
        <v>2</v>
      </c>
      <c r="W12" s="87">
        <f t="shared" si="0"/>
        <v>2</v>
      </c>
      <c r="X12" s="91">
        <f t="shared" si="1"/>
        <v>9.1999999999999993</v>
      </c>
      <c r="Y12" s="93">
        <f t="shared" si="2"/>
        <v>153.33333333333331</v>
      </c>
      <c r="Z12" s="557"/>
      <c r="AA12" s="559"/>
      <c r="AB12" s="557"/>
      <c r="AC12" s="557"/>
      <c r="AD12" s="553"/>
      <c r="AE12" s="553"/>
    </row>
    <row r="13" spans="1:31" s="1" customFormat="1" x14ac:dyDescent="0.25">
      <c r="A13" s="552">
        <v>4</v>
      </c>
      <c r="B13" s="554" t="s">
        <v>248</v>
      </c>
      <c r="C13" s="83" t="s">
        <v>237</v>
      </c>
      <c r="D13" s="84">
        <v>6</v>
      </c>
      <c r="E13" s="85"/>
      <c r="F13" s="85"/>
      <c r="G13" s="85"/>
      <c r="H13" s="85"/>
      <c r="I13" s="85"/>
      <c r="J13" s="85"/>
      <c r="K13" s="118"/>
      <c r="L13" s="85"/>
      <c r="M13" s="86">
        <f>SUMIF('Наставни ансамбл'!J14:J368,"Драгица Милинковић",'Наставни ансамбл'!G14:G368)</f>
        <v>22</v>
      </c>
      <c r="N13" s="87">
        <f t="shared" si="3"/>
        <v>22</v>
      </c>
      <c r="O13" s="85"/>
      <c r="P13" s="85"/>
      <c r="Q13" s="85"/>
      <c r="R13" s="85"/>
      <c r="S13" s="85"/>
      <c r="T13" s="85"/>
      <c r="U13" s="85"/>
      <c r="V13" s="88">
        <f>SUMIF('Наставни ансамбл'!J14:J368,"Драгица Милинковић",'Наставни ансамбл'!H14:H368)</f>
        <v>7</v>
      </c>
      <c r="W13" s="87">
        <f t="shared" si="0"/>
        <v>7</v>
      </c>
      <c r="X13" s="84">
        <f t="shared" si="1"/>
        <v>26.2</v>
      </c>
      <c r="Y13" s="89">
        <f t="shared" si="2"/>
        <v>436.66666666666663</v>
      </c>
      <c r="Z13" s="556">
        <f>(X13+X14)/2</f>
        <v>22.5</v>
      </c>
      <c r="AA13" s="558">
        <f>Z13/D13*100</f>
        <v>375</v>
      </c>
      <c r="AB13" s="556">
        <f>IF(Z13&lt;=D13,Z13,D13)</f>
        <v>6</v>
      </c>
      <c r="AC13" s="556">
        <f>IF(Z13&gt;D13,Z13-D13,0)</f>
        <v>16.5</v>
      </c>
      <c r="AD13" s="560">
        <v>9</v>
      </c>
      <c r="AE13" s="560">
        <v>4</v>
      </c>
    </row>
    <row r="14" spans="1:31" s="1" customFormat="1" x14ac:dyDescent="0.25">
      <c r="A14" s="553"/>
      <c r="B14" s="555"/>
      <c r="C14" s="90" t="s">
        <v>238</v>
      </c>
      <c r="D14" s="91">
        <v>6</v>
      </c>
      <c r="E14" s="140"/>
      <c r="F14" s="140"/>
      <c r="G14" s="140"/>
      <c r="H14" s="140"/>
      <c r="I14" s="140"/>
      <c r="J14" s="140"/>
      <c r="K14" s="201"/>
      <c r="L14" s="140"/>
      <c r="M14" s="86">
        <f>SUMIF('Наставни ансамбл'!J378:J759,"Драгица Милинковић",'Наставни ансамбл'!G378:G759)</f>
        <v>17</v>
      </c>
      <c r="N14" s="87">
        <f t="shared" si="3"/>
        <v>17</v>
      </c>
      <c r="O14" s="85"/>
      <c r="P14" s="85"/>
      <c r="Q14" s="85"/>
      <c r="R14" s="85"/>
      <c r="S14" s="85"/>
      <c r="T14" s="85"/>
      <c r="U14" s="118"/>
      <c r="V14" s="88">
        <f>SUMIF('Наставни ансамбл'!J378:J759,"Драгица Милинковић",'Наставни ансамбл'!H378:H759)</f>
        <v>3</v>
      </c>
      <c r="W14" s="87">
        <f t="shared" si="0"/>
        <v>3</v>
      </c>
      <c r="X14" s="91">
        <f t="shared" si="1"/>
        <v>18.8</v>
      </c>
      <c r="Y14" s="93">
        <f t="shared" si="2"/>
        <v>313.33333333333331</v>
      </c>
      <c r="Z14" s="557"/>
      <c r="AA14" s="559"/>
      <c r="AB14" s="557"/>
      <c r="AC14" s="557"/>
      <c r="AD14" s="553"/>
      <c r="AE14" s="553"/>
    </row>
    <row r="15" spans="1:31" s="1" customFormat="1" x14ac:dyDescent="0.25">
      <c r="A15" s="552">
        <v>5</v>
      </c>
      <c r="B15" s="554" t="s">
        <v>247</v>
      </c>
      <c r="C15" s="83" t="s">
        <v>237</v>
      </c>
      <c r="D15" s="84">
        <v>6</v>
      </c>
      <c r="E15" s="85"/>
      <c r="F15" s="85"/>
      <c r="G15" s="85"/>
      <c r="H15" s="85"/>
      <c r="I15" s="85"/>
      <c r="J15" s="85"/>
      <c r="K15" s="85"/>
      <c r="L15" s="85"/>
      <c r="M15" s="86">
        <f>SUMIF('Наставни ансамбл'!J14:J368,"Сања Опсеница",'Наставни ансамбл'!G14:G368)</f>
        <v>6</v>
      </c>
      <c r="N15" s="87">
        <f t="shared" si="3"/>
        <v>6</v>
      </c>
      <c r="O15" s="85"/>
      <c r="P15" s="85"/>
      <c r="Q15" s="85"/>
      <c r="R15" s="85"/>
      <c r="S15" s="85"/>
      <c r="T15" s="85"/>
      <c r="U15" s="85"/>
      <c r="V15" s="88">
        <f>SUMIF('Наставни ансамбл'!J14:J368,"Сања Опсеница",'Наставни ансамбл'!H14:H368)</f>
        <v>4</v>
      </c>
      <c r="W15" s="87">
        <f t="shared" si="0"/>
        <v>4</v>
      </c>
      <c r="X15" s="84">
        <f t="shared" si="1"/>
        <v>8.4</v>
      </c>
      <c r="Y15" s="89">
        <f t="shared" si="2"/>
        <v>140</v>
      </c>
      <c r="Z15" s="556">
        <f>(X15+X16)/2</f>
        <v>8.9</v>
      </c>
      <c r="AA15" s="558">
        <f>Z15/D15*100</f>
        <v>148.33333333333334</v>
      </c>
      <c r="AB15" s="556">
        <f>IF(Z15&lt;=D15,Z15,D15)</f>
        <v>6</v>
      </c>
      <c r="AC15" s="556">
        <f>IF(Z15&gt;D15,Z15-D15,0)</f>
        <v>2.9000000000000004</v>
      </c>
      <c r="AD15" s="560">
        <v>3</v>
      </c>
      <c r="AE15" s="560">
        <v>3</v>
      </c>
    </row>
    <row r="16" spans="1:31" s="1" customFormat="1" x14ac:dyDescent="0.25">
      <c r="A16" s="553"/>
      <c r="B16" s="555"/>
      <c r="C16" s="90" t="s">
        <v>238</v>
      </c>
      <c r="D16" s="91">
        <v>6</v>
      </c>
      <c r="E16" s="140"/>
      <c r="F16" s="140"/>
      <c r="G16" s="140"/>
      <c r="H16" s="140"/>
      <c r="I16" s="140"/>
      <c r="J16" s="140"/>
      <c r="K16" s="140"/>
      <c r="L16" s="140"/>
      <c r="M16" s="86">
        <f>SUMIF('Наставни ансамбл'!J378:J759,"Сања Опсеница",'Наставни ансамбл'!G378:G759)</f>
        <v>7</v>
      </c>
      <c r="N16" s="87">
        <f t="shared" si="3"/>
        <v>7</v>
      </c>
      <c r="O16" s="85"/>
      <c r="P16" s="85"/>
      <c r="Q16" s="85"/>
      <c r="R16" s="85"/>
      <c r="S16" s="85"/>
      <c r="T16" s="85"/>
      <c r="U16" s="85"/>
      <c r="V16" s="88">
        <f>SUMIF('Наставни ансамбл'!J378:J759,"Сања Опсеница",'Наставни ансамбл'!H378:H759)</f>
        <v>4</v>
      </c>
      <c r="W16" s="87">
        <f t="shared" si="0"/>
        <v>4</v>
      </c>
      <c r="X16" s="91">
        <f t="shared" si="1"/>
        <v>9.4</v>
      </c>
      <c r="Y16" s="93">
        <f t="shared" si="2"/>
        <v>156.66666666666666</v>
      </c>
      <c r="Z16" s="557"/>
      <c r="AA16" s="559"/>
      <c r="AB16" s="557"/>
      <c r="AC16" s="557"/>
      <c r="AD16" s="553"/>
      <c r="AE16" s="553"/>
    </row>
    <row r="17" spans="1:39" s="1" customFormat="1" x14ac:dyDescent="0.25">
      <c r="A17" s="552">
        <v>6</v>
      </c>
      <c r="B17" s="582" t="s">
        <v>245</v>
      </c>
      <c r="C17" s="83" t="s">
        <v>237</v>
      </c>
      <c r="D17" s="84">
        <v>6</v>
      </c>
      <c r="E17" s="85"/>
      <c r="F17" s="85"/>
      <c r="G17" s="85"/>
      <c r="H17" s="85"/>
      <c r="I17" s="85"/>
      <c r="J17" s="85"/>
      <c r="K17" s="85"/>
      <c r="L17" s="85"/>
      <c r="M17" s="86">
        <f>SUMIF('Наставни ансамбл'!J14:J368,"Оливера Петровић",'Наставни ансамбл'!G14:G368)</f>
        <v>4</v>
      </c>
      <c r="N17" s="87">
        <f t="shared" si="3"/>
        <v>4</v>
      </c>
      <c r="O17" s="85"/>
      <c r="P17" s="85"/>
      <c r="Q17" s="85"/>
      <c r="R17" s="85"/>
      <c r="S17" s="85"/>
      <c r="T17" s="85"/>
      <c r="U17" s="85"/>
      <c r="V17" s="88">
        <f>SUMIF('Наставни ансамбл'!J14:J368,"Оливера Петровић",'Наставни ансамбл'!H14:H368)</f>
        <v>2</v>
      </c>
      <c r="W17" s="87">
        <f t="shared" si="0"/>
        <v>2</v>
      </c>
      <c r="X17" s="84">
        <f t="shared" si="1"/>
        <v>5.2</v>
      </c>
      <c r="Y17" s="89">
        <f t="shared" si="2"/>
        <v>86.666666666666671</v>
      </c>
      <c r="Z17" s="556">
        <f>(X17+X18)/2</f>
        <v>8.6999999999999993</v>
      </c>
      <c r="AA17" s="558">
        <f>Z17/D17*100</f>
        <v>145</v>
      </c>
      <c r="AB17" s="556">
        <f>IF(Z17&lt;=D17,Z17,D17)</f>
        <v>6</v>
      </c>
      <c r="AC17" s="556">
        <f>IF(Z17&gt;D17,Z17-D17,0)</f>
        <v>2.6999999999999993</v>
      </c>
      <c r="AD17" s="560">
        <v>2</v>
      </c>
      <c r="AE17" s="560">
        <v>3</v>
      </c>
    </row>
    <row r="18" spans="1:39" s="1" customFormat="1" x14ac:dyDescent="0.25">
      <c r="A18" s="553"/>
      <c r="B18" s="555"/>
      <c r="C18" s="90" t="s">
        <v>238</v>
      </c>
      <c r="D18" s="91">
        <v>6</v>
      </c>
      <c r="E18" s="201"/>
      <c r="F18" s="140"/>
      <c r="G18" s="140"/>
      <c r="H18" s="140"/>
      <c r="I18" s="140"/>
      <c r="J18" s="140"/>
      <c r="K18" s="140"/>
      <c r="L18" s="201">
        <v>2</v>
      </c>
      <c r="M18" s="86">
        <f>SUMIF('Наставни ансамбл'!J378:J759,"Оливера Петровић",'Наставни ансамбл'!G378:G759)</f>
        <v>6</v>
      </c>
      <c r="N18" s="87">
        <f t="shared" si="3"/>
        <v>8</v>
      </c>
      <c r="O18" s="85"/>
      <c r="P18" s="85"/>
      <c r="Q18" s="85"/>
      <c r="R18" s="85"/>
      <c r="S18" s="85"/>
      <c r="T18" s="85"/>
      <c r="U18" s="85"/>
      <c r="V18" s="88">
        <f>SUMIF('Наставни ансамбл'!J378:J759,"Оливера Петровић",'Наставни ансамбл'!H378:H759)</f>
        <v>7</v>
      </c>
      <c r="W18" s="87">
        <f t="shared" si="0"/>
        <v>7</v>
      </c>
      <c r="X18" s="91">
        <f t="shared" si="1"/>
        <v>12.2</v>
      </c>
      <c r="Y18" s="93">
        <f t="shared" si="2"/>
        <v>203.33333333333331</v>
      </c>
      <c r="Z18" s="557"/>
      <c r="AA18" s="559"/>
      <c r="AB18" s="557"/>
      <c r="AC18" s="557"/>
      <c r="AD18" s="553"/>
      <c r="AE18" s="553"/>
    </row>
    <row r="19" spans="1:39" s="1" customFormat="1" x14ac:dyDescent="0.25">
      <c r="A19" s="552">
        <v>7</v>
      </c>
      <c r="B19" s="554" t="s">
        <v>246</v>
      </c>
      <c r="C19" s="83" t="s">
        <v>237</v>
      </c>
      <c r="D19" s="84">
        <v>6</v>
      </c>
      <c r="E19" s="118"/>
      <c r="F19" s="85"/>
      <c r="G19" s="85"/>
      <c r="H19" s="85"/>
      <c r="I19" s="85"/>
      <c r="J19" s="85"/>
      <c r="K19" s="85"/>
      <c r="L19" s="85"/>
      <c r="M19" s="86">
        <f>SUMIF('Наставни ансамбл'!J14:J368,"Татјана Думитрашковић",'Наставни ансамбл'!G14:G368)</f>
        <v>8</v>
      </c>
      <c r="N19" s="87">
        <f t="shared" si="3"/>
        <v>8</v>
      </c>
      <c r="O19" s="85"/>
      <c r="P19" s="85"/>
      <c r="Q19" s="85"/>
      <c r="R19" s="85"/>
      <c r="S19" s="85"/>
      <c r="T19" s="85"/>
      <c r="U19" s="85"/>
      <c r="V19" s="88">
        <f>SUMIF('Наставни ансамбл'!J14:J368,"Татјана Думитрашковић",'Наставни ансамбл'!H14:H368)</f>
        <v>5</v>
      </c>
      <c r="W19" s="87">
        <f t="shared" si="0"/>
        <v>5</v>
      </c>
      <c r="X19" s="84">
        <f t="shared" si="1"/>
        <v>11</v>
      </c>
      <c r="Y19" s="89">
        <f t="shared" si="2"/>
        <v>183.33333333333331</v>
      </c>
      <c r="Z19" s="556">
        <f>(X19+X20)/2</f>
        <v>7.1</v>
      </c>
      <c r="AA19" s="558">
        <f>Z19/D19*100</f>
        <v>118.33333333333333</v>
      </c>
      <c r="AB19" s="556">
        <f>IF(Z19&lt;=D19,Z19,D19)</f>
        <v>6</v>
      </c>
      <c r="AC19" s="556">
        <f>IF(Z19&gt;D19,Z19-D19,0)</f>
        <v>1.0999999999999996</v>
      </c>
      <c r="AD19" s="560">
        <v>1</v>
      </c>
      <c r="AE19" s="560">
        <v>2</v>
      </c>
    </row>
    <row r="20" spans="1:39" s="1" customFormat="1" x14ac:dyDescent="0.25">
      <c r="A20" s="553"/>
      <c r="B20" s="555"/>
      <c r="C20" s="90" t="s">
        <v>238</v>
      </c>
      <c r="D20" s="91">
        <v>6</v>
      </c>
      <c r="E20" s="201"/>
      <c r="F20" s="140"/>
      <c r="G20" s="140"/>
      <c r="H20" s="140"/>
      <c r="I20" s="140"/>
      <c r="J20" s="140"/>
      <c r="K20" s="140"/>
      <c r="L20" s="140"/>
      <c r="M20" s="86">
        <f>SUMIF('Наставни ансамбл'!J378:J759,"Татјана Думитрашковић",'Наставни ансамбл'!G378:G759)</f>
        <v>2</v>
      </c>
      <c r="N20" s="87">
        <f t="shared" si="3"/>
        <v>2</v>
      </c>
      <c r="O20" s="85"/>
      <c r="P20" s="85"/>
      <c r="Q20" s="85"/>
      <c r="R20" s="85"/>
      <c r="S20" s="85"/>
      <c r="T20" s="85"/>
      <c r="U20" s="85"/>
      <c r="V20" s="88">
        <f>SUMIF('Наставни ансамбл'!J378:J759,"Татјана Думитрашковић",'Наставни ансамбл'!H378:H759)</f>
        <v>2</v>
      </c>
      <c r="W20" s="87">
        <f t="shared" si="0"/>
        <v>2</v>
      </c>
      <c r="X20" s="91">
        <f t="shared" si="1"/>
        <v>3.2</v>
      </c>
      <c r="Y20" s="93">
        <f t="shared" si="2"/>
        <v>53.333333333333336</v>
      </c>
      <c r="Z20" s="557"/>
      <c r="AA20" s="559"/>
      <c r="AB20" s="557"/>
      <c r="AC20" s="557"/>
      <c r="AD20" s="553"/>
      <c r="AE20" s="553"/>
    </row>
    <row r="21" spans="1:39" s="1" customFormat="1" x14ac:dyDescent="0.25">
      <c r="A21" s="552">
        <v>8</v>
      </c>
      <c r="B21" s="554" t="s">
        <v>527</v>
      </c>
      <c r="C21" s="83" t="s">
        <v>237</v>
      </c>
      <c r="D21" s="84">
        <v>6</v>
      </c>
      <c r="E21" s="85"/>
      <c r="F21" s="85"/>
      <c r="G21" s="85"/>
      <c r="H21" s="85"/>
      <c r="I21" s="85"/>
      <c r="J21" s="85"/>
      <c r="K21" s="85"/>
      <c r="L21" s="85"/>
      <c r="M21" s="86">
        <f>SUMIF('Наставни ансамбл'!J14:J368,"Нина Ћеклић",'Наставни ансамбл'!G14:G368)</f>
        <v>5</v>
      </c>
      <c r="N21" s="87">
        <f t="shared" si="3"/>
        <v>5</v>
      </c>
      <c r="O21" s="85"/>
      <c r="P21" s="85"/>
      <c r="Q21" s="85"/>
      <c r="R21" s="85"/>
      <c r="S21" s="85"/>
      <c r="T21" s="85"/>
      <c r="U21" s="85"/>
      <c r="V21" s="88">
        <f>SUMIF('Наставни ансамбл'!J14:J368,"Нина Ћеклић",'Наставни ансамбл'!H14:H368)</f>
        <v>5</v>
      </c>
      <c r="W21" s="87">
        <f t="shared" si="0"/>
        <v>5</v>
      </c>
      <c r="X21" s="84">
        <f t="shared" si="1"/>
        <v>8</v>
      </c>
      <c r="Y21" s="89">
        <f t="shared" si="2"/>
        <v>133.33333333333331</v>
      </c>
      <c r="Z21" s="556">
        <f>(X21+X22)/2</f>
        <v>9.1</v>
      </c>
      <c r="AA21" s="558">
        <f>Z21/D21*100</f>
        <v>151.66666666666666</v>
      </c>
      <c r="AB21" s="556">
        <f>IF(Z21&lt;=D21,Z21,D21)</f>
        <v>6</v>
      </c>
      <c r="AC21" s="556">
        <f>IF(Z21&gt;D21,Z21-D21,0)</f>
        <v>3.0999999999999996</v>
      </c>
      <c r="AD21" s="560">
        <v>3</v>
      </c>
      <c r="AE21" s="560">
        <v>5</v>
      </c>
      <c r="AH21" s="98"/>
      <c r="AI21" s="99"/>
      <c r="AJ21" s="99"/>
      <c r="AK21" s="99"/>
      <c r="AL21" s="99"/>
      <c r="AM21" s="99"/>
    </row>
    <row r="22" spans="1:39" s="1" customFormat="1" x14ac:dyDescent="0.25">
      <c r="A22" s="553"/>
      <c r="B22" s="555"/>
      <c r="C22" s="90" t="s">
        <v>238</v>
      </c>
      <c r="D22" s="91">
        <v>6</v>
      </c>
      <c r="E22" s="140"/>
      <c r="F22" s="140"/>
      <c r="G22" s="140"/>
      <c r="H22" s="140"/>
      <c r="I22" s="140"/>
      <c r="J22" s="140"/>
      <c r="K22" s="140"/>
      <c r="L22" s="140"/>
      <c r="M22" s="86">
        <f>SUMIF('Наставни ансамбл'!J378:J759,"Нина Ћеклић",'Наставни ансамбл'!G378:G759)</f>
        <v>6</v>
      </c>
      <c r="N22" s="87">
        <f t="shared" si="3"/>
        <v>6</v>
      </c>
      <c r="O22" s="85"/>
      <c r="P22" s="85"/>
      <c r="Q22" s="85"/>
      <c r="R22" s="85"/>
      <c r="S22" s="85"/>
      <c r="T22" s="85"/>
      <c r="U22" s="85"/>
      <c r="V22" s="88">
        <f>SUMIF('Наставни ансамбл'!J378:J759,"Нина Ћеклић",'Наставни ансамбл'!H378:H759)</f>
        <v>7</v>
      </c>
      <c r="W22" s="87">
        <f t="shared" si="0"/>
        <v>7</v>
      </c>
      <c r="X22" s="91">
        <f t="shared" si="1"/>
        <v>10.199999999999999</v>
      </c>
      <c r="Y22" s="93">
        <f t="shared" si="2"/>
        <v>170</v>
      </c>
      <c r="Z22" s="557"/>
      <c r="AA22" s="559"/>
      <c r="AB22" s="557"/>
      <c r="AC22" s="557"/>
      <c r="AD22" s="553"/>
      <c r="AE22" s="553"/>
      <c r="AH22" s="98"/>
      <c r="AI22" s="99"/>
      <c r="AJ22" s="99"/>
      <c r="AK22" s="99"/>
      <c r="AL22" s="99"/>
      <c r="AM22" s="99"/>
    </row>
    <row r="23" spans="1:39" s="1" customFormat="1" x14ac:dyDescent="0.25">
      <c r="A23" s="552">
        <v>9</v>
      </c>
      <c r="B23" s="554" t="s">
        <v>249</v>
      </c>
      <c r="C23" s="83" t="s">
        <v>237</v>
      </c>
      <c r="D23" s="84">
        <v>6</v>
      </c>
      <c r="E23" s="85"/>
      <c r="F23" s="85"/>
      <c r="G23" s="85"/>
      <c r="H23" s="85"/>
      <c r="I23" s="85"/>
      <c r="J23" s="85"/>
      <c r="K23" s="85"/>
      <c r="L23" s="85"/>
      <c r="M23" s="86">
        <f>SUMIF('Наставни ансамбл'!J14:J368,"Милена Ивановић",'Наставни ансамбл'!G14:G368)</f>
        <v>6</v>
      </c>
      <c r="N23" s="87">
        <f t="shared" si="3"/>
        <v>6</v>
      </c>
      <c r="O23" s="85"/>
      <c r="P23" s="85"/>
      <c r="Q23" s="85"/>
      <c r="R23" s="85"/>
      <c r="S23" s="85"/>
      <c r="T23" s="85"/>
      <c r="U23" s="85"/>
      <c r="V23" s="88">
        <f>SUMIF('Наставни ансамбл'!J14:J368,"Милена Ивановић",'Наставни ансамбл'!H14:H368)</f>
        <v>6</v>
      </c>
      <c r="W23" s="87">
        <f t="shared" si="0"/>
        <v>6</v>
      </c>
      <c r="X23" s="84">
        <f t="shared" si="1"/>
        <v>9.6</v>
      </c>
      <c r="Y23" s="89">
        <f t="shared" si="2"/>
        <v>160</v>
      </c>
      <c r="Z23" s="556">
        <f>(X23+X24)/2</f>
        <v>12.3</v>
      </c>
      <c r="AA23" s="558">
        <f>Z23/D23*100</f>
        <v>205.00000000000003</v>
      </c>
      <c r="AB23" s="556">
        <f>IF(Z23&lt;=D23,Z23,D23)</f>
        <v>6</v>
      </c>
      <c r="AC23" s="556">
        <f>IF(Z23&gt;D23,Z23-D23,0)</f>
        <v>6.3000000000000007</v>
      </c>
      <c r="AD23" s="560">
        <v>0</v>
      </c>
      <c r="AE23" s="560">
        <v>0</v>
      </c>
    </row>
    <row r="24" spans="1:39" s="1" customFormat="1" x14ac:dyDescent="0.25">
      <c r="A24" s="585"/>
      <c r="B24" s="586"/>
      <c r="C24" s="90" t="s">
        <v>238</v>
      </c>
      <c r="D24" s="94">
        <v>6</v>
      </c>
      <c r="E24" s="202"/>
      <c r="F24" s="202"/>
      <c r="G24" s="202"/>
      <c r="H24" s="202"/>
      <c r="I24" s="202"/>
      <c r="J24" s="202"/>
      <c r="K24" s="202"/>
      <c r="L24" s="202"/>
      <c r="M24" s="95">
        <f>SUMIF('Наставни ансамбл'!J378:J759,"Милена Ивановић",'Наставни ансамбл'!G378:G759)</f>
        <v>9</v>
      </c>
      <c r="N24" s="87">
        <f t="shared" si="3"/>
        <v>9</v>
      </c>
      <c r="O24" s="96"/>
      <c r="P24" s="96"/>
      <c r="Q24" s="96"/>
      <c r="R24" s="96"/>
      <c r="S24" s="96"/>
      <c r="T24" s="96"/>
      <c r="U24" s="96"/>
      <c r="V24" s="97">
        <f>SUMIF('Наставни ансамбл'!J378:J759,"Милена Ивановић",'Наставни ансамбл'!H378:H759)</f>
        <v>10</v>
      </c>
      <c r="W24" s="87">
        <f t="shared" si="0"/>
        <v>10</v>
      </c>
      <c r="X24" s="91">
        <f t="shared" si="1"/>
        <v>15</v>
      </c>
      <c r="Y24" s="93">
        <f t="shared" si="2"/>
        <v>250</v>
      </c>
      <c r="Z24" s="557"/>
      <c r="AA24" s="559"/>
      <c r="AB24" s="557"/>
      <c r="AC24" s="557"/>
      <c r="AD24" s="553"/>
      <c r="AE24" s="553"/>
    </row>
    <row r="25" spans="1:39" s="1" customFormat="1" x14ac:dyDescent="0.25">
      <c r="A25" s="552">
        <v>10</v>
      </c>
      <c r="B25" s="582" t="s">
        <v>259</v>
      </c>
      <c r="C25" s="83" t="s">
        <v>237</v>
      </c>
      <c r="D25" s="84">
        <v>6</v>
      </c>
      <c r="E25" s="85"/>
      <c r="F25" s="85"/>
      <c r="G25" s="85"/>
      <c r="H25" s="85"/>
      <c r="I25" s="85"/>
      <c r="J25" s="85"/>
      <c r="K25" s="85"/>
      <c r="L25" s="85"/>
      <c r="M25" s="86">
        <f>SUMIF('Наставни ансамбл'!J14:J368,"Драгана Радивојевић",'Наставни ансамбл'!G14:G368)</f>
        <v>5</v>
      </c>
      <c r="N25" s="87">
        <f t="shared" si="3"/>
        <v>5</v>
      </c>
      <c r="O25" s="85"/>
      <c r="P25" s="85"/>
      <c r="Q25" s="85"/>
      <c r="R25" s="85"/>
      <c r="S25" s="85"/>
      <c r="T25" s="85"/>
      <c r="U25" s="85"/>
      <c r="V25" s="88">
        <f>SUMIF('Наставни ансамбл'!J14:J368,"Драгана Радивојевић",'Наставни ансамбл'!H14:H368)</f>
        <v>4</v>
      </c>
      <c r="W25" s="87">
        <f t="shared" si="0"/>
        <v>4</v>
      </c>
      <c r="X25" s="130">
        <f t="shared" si="1"/>
        <v>7.4</v>
      </c>
      <c r="Y25" s="113">
        <f t="shared" si="2"/>
        <v>123.33333333333334</v>
      </c>
      <c r="Z25" s="556">
        <f>(X25+X26)/2</f>
        <v>9.6999999999999993</v>
      </c>
      <c r="AA25" s="558">
        <f>Z25/D25*100</f>
        <v>161.66666666666666</v>
      </c>
      <c r="AB25" s="556">
        <f>IF(Z25&lt;=D25,Z25,D25)</f>
        <v>6</v>
      </c>
      <c r="AC25" s="556">
        <f>IF(Z25&gt;D25,Z25-D25,0)</f>
        <v>3.6999999999999993</v>
      </c>
      <c r="AD25" s="552">
        <v>3</v>
      </c>
      <c r="AE25" s="552">
        <v>5</v>
      </c>
      <c r="AH25" s="98"/>
      <c r="AI25" s="99"/>
      <c r="AJ25" s="99"/>
      <c r="AK25" s="99"/>
      <c r="AL25" s="99"/>
      <c r="AM25" s="99"/>
    </row>
    <row r="26" spans="1:39" s="1" customFormat="1" x14ac:dyDescent="0.25">
      <c r="A26" s="583"/>
      <c r="B26" s="584"/>
      <c r="C26" s="90" t="s">
        <v>238</v>
      </c>
      <c r="D26" s="91">
        <v>6</v>
      </c>
      <c r="E26" s="140"/>
      <c r="F26" s="140"/>
      <c r="G26" s="140"/>
      <c r="H26" s="140"/>
      <c r="I26" s="140"/>
      <c r="J26" s="140"/>
      <c r="K26" s="140"/>
      <c r="L26" s="140"/>
      <c r="M26" s="86">
        <f>SUMIF('Наставни ансамбл'!J378:J759,"Драгана Радивојевић",'Наставни ансамбл'!G378:G759)</f>
        <v>9</v>
      </c>
      <c r="N26" s="87">
        <f t="shared" si="3"/>
        <v>9</v>
      </c>
      <c r="O26" s="85"/>
      <c r="P26" s="85"/>
      <c r="Q26" s="85"/>
      <c r="R26" s="85"/>
      <c r="S26" s="85"/>
      <c r="T26" s="85"/>
      <c r="U26" s="85"/>
      <c r="V26" s="88">
        <f>SUMIF('Наставни ансамбл'!J378:J759,"Драгана Радивојевић",'Наставни ансамбл'!H378:H759)</f>
        <v>5</v>
      </c>
      <c r="W26" s="87">
        <f t="shared" si="0"/>
        <v>5</v>
      </c>
      <c r="X26" s="91">
        <f t="shared" si="1"/>
        <v>12</v>
      </c>
      <c r="Y26" s="93">
        <f t="shared" si="2"/>
        <v>200</v>
      </c>
      <c r="Z26" s="557"/>
      <c r="AA26" s="559"/>
      <c r="AB26" s="557"/>
      <c r="AC26" s="557"/>
      <c r="AD26" s="583"/>
      <c r="AE26" s="583"/>
      <c r="AH26" s="98"/>
      <c r="AI26" s="99"/>
      <c r="AJ26" s="99"/>
      <c r="AK26" s="99"/>
      <c r="AL26" s="99"/>
      <c r="AM26" s="99"/>
    </row>
    <row r="27" spans="1:39" s="1" customFormat="1" x14ac:dyDescent="0.25">
      <c r="A27" s="552">
        <v>11</v>
      </c>
      <c r="B27" s="582" t="s">
        <v>196</v>
      </c>
      <c r="C27" s="83" t="s">
        <v>237</v>
      </c>
      <c r="D27" s="84">
        <v>6</v>
      </c>
      <c r="E27" s="85"/>
      <c r="F27" s="85"/>
      <c r="G27" s="85"/>
      <c r="H27" s="85"/>
      <c r="I27" s="85"/>
      <c r="J27" s="85"/>
      <c r="K27" s="85"/>
      <c r="L27" s="85"/>
      <c r="M27" s="86">
        <f>SUMIF('Наставни ансамбл'!J14:J368,"Сања Милић",'Наставни ансамбл'!G14:G368)</f>
        <v>6</v>
      </c>
      <c r="N27" s="87">
        <f t="shared" si="3"/>
        <v>6</v>
      </c>
      <c r="O27" s="85"/>
      <c r="P27" s="85"/>
      <c r="Q27" s="85"/>
      <c r="R27" s="85"/>
      <c r="S27" s="85"/>
      <c r="T27" s="85"/>
      <c r="U27" s="85"/>
      <c r="V27" s="88">
        <f>SUMIF('Наставни ансамбл'!J14:J368,"Сања Милић",'Наставни ансамбл'!H14:H368)</f>
        <v>6</v>
      </c>
      <c r="W27" s="87">
        <f t="shared" si="0"/>
        <v>6</v>
      </c>
      <c r="X27" s="84">
        <f>N27+(W27*0.6)</f>
        <v>9.6</v>
      </c>
      <c r="Y27" s="89">
        <f t="shared" si="2"/>
        <v>160</v>
      </c>
      <c r="Z27" s="556">
        <f>(X27+X28)/2</f>
        <v>12.6</v>
      </c>
      <c r="AA27" s="558">
        <f>Z27/D27*100</f>
        <v>210</v>
      </c>
      <c r="AB27" s="556">
        <f>IF(Z27&lt;=D27,Z27,D27)</f>
        <v>6</v>
      </c>
      <c r="AC27" s="556">
        <f>IF(Z27&gt;D27,Z27-D27,0)</f>
        <v>6.6</v>
      </c>
      <c r="AD27" s="560">
        <v>4</v>
      </c>
      <c r="AE27" s="560">
        <v>4</v>
      </c>
      <c r="AH27" s="98"/>
      <c r="AI27" s="99"/>
      <c r="AJ27" s="99"/>
      <c r="AK27" s="99"/>
      <c r="AL27" s="99"/>
      <c r="AM27" s="99"/>
    </row>
    <row r="28" spans="1:39" s="1" customFormat="1" x14ac:dyDescent="0.25">
      <c r="A28" s="553"/>
      <c r="B28" s="555"/>
      <c r="C28" s="90" t="s">
        <v>238</v>
      </c>
      <c r="D28" s="91">
        <v>6</v>
      </c>
      <c r="E28" s="140"/>
      <c r="F28" s="201">
        <v>4</v>
      </c>
      <c r="G28" s="140"/>
      <c r="H28" s="140"/>
      <c r="I28" s="140"/>
      <c r="J28" s="140"/>
      <c r="K28" s="140"/>
      <c r="L28" s="140"/>
      <c r="M28" s="86">
        <f>SUMIF('Наставни ансамбл'!J378:J759,"Сања Милић",'Наставни ансамбл'!G378:G759)</f>
        <v>8</v>
      </c>
      <c r="N28" s="87">
        <f t="shared" si="3"/>
        <v>12</v>
      </c>
      <c r="O28" s="85"/>
      <c r="P28" s="85"/>
      <c r="Q28" s="85"/>
      <c r="R28" s="85"/>
      <c r="S28" s="85"/>
      <c r="T28" s="85"/>
      <c r="U28" s="85"/>
      <c r="V28" s="88">
        <f>SUMIF('Наставни ансамбл'!J378:J759,"Сања Милић",'Наставни ансамбл'!H378:H759)</f>
        <v>6</v>
      </c>
      <c r="W28" s="87">
        <f t="shared" si="0"/>
        <v>6</v>
      </c>
      <c r="X28" s="91">
        <f>N28+(W28*0.6)</f>
        <v>15.6</v>
      </c>
      <c r="Y28" s="93">
        <f t="shared" si="2"/>
        <v>260</v>
      </c>
      <c r="Z28" s="557"/>
      <c r="AA28" s="559"/>
      <c r="AB28" s="557"/>
      <c r="AC28" s="557"/>
      <c r="AD28" s="553"/>
      <c r="AE28" s="553"/>
      <c r="AH28" s="98"/>
      <c r="AI28" s="99"/>
      <c r="AJ28" s="99"/>
      <c r="AK28" s="99"/>
      <c r="AL28" s="99"/>
      <c r="AM28" s="99"/>
    </row>
    <row r="29" spans="1:39" s="1" customFormat="1" ht="15" customHeight="1" x14ac:dyDescent="0.25">
      <c r="A29" s="552">
        <v>12</v>
      </c>
      <c r="B29" s="554" t="s">
        <v>258</v>
      </c>
      <c r="C29" s="83" t="s">
        <v>237</v>
      </c>
      <c r="D29" s="84">
        <v>6</v>
      </c>
      <c r="E29" s="85"/>
      <c r="F29" s="85"/>
      <c r="G29" s="85"/>
      <c r="H29" s="85"/>
      <c r="I29" s="85"/>
      <c r="J29" s="85"/>
      <c r="K29" s="85"/>
      <c r="L29" s="85"/>
      <c r="M29" s="120">
        <f>SUMIF('Наставни ансамбл'!J14:J368,"Марица Травар",'Наставни ансамбл'!G14:G368)</f>
        <v>5</v>
      </c>
      <c r="N29" s="87">
        <f t="shared" si="3"/>
        <v>5</v>
      </c>
      <c r="O29" s="85"/>
      <c r="P29" s="85"/>
      <c r="Q29" s="85"/>
      <c r="R29" s="85"/>
      <c r="S29" s="85"/>
      <c r="T29" s="85"/>
      <c r="U29" s="85"/>
      <c r="V29" s="88">
        <f>SUMIF('Наставни ансамбл'!J14:J368,"Марица Травар",'Наставни ансамбл'!H14:H368)</f>
        <v>3</v>
      </c>
      <c r="W29" s="87">
        <f t="shared" si="0"/>
        <v>3</v>
      </c>
      <c r="X29" s="84">
        <f t="shared" ref="X29:X46" si="4">N29+(W29*0.6)</f>
        <v>6.8</v>
      </c>
      <c r="Y29" s="89">
        <f t="shared" si="2"/>
        <v>113.33333333333333</v>
      </c>
      <c r="Z29" s="556">
        <f>(X29+X30)/2</f>
        <v>9.8000000000000007</v>
      </c>
      <c r="AA29" s="558">
        <f>Z29/D29*100</f>
        <v>163.33333333333334</v>
      </c>
      <c r="AB29" s="556">
        <f>IF(Z29&lt;=D29,Z29,D29)</f>
        <v>6</v>
      </c>
      <c r="AC29" s="556">
        <f>IF(Z29&gt;D29,Z29-D29,0)</f>
        <v>3.8000000000000007</v>
      </c>
      <c r="AD29" s="560">
        <v>1</v>
      </c>
      <c r="AE29" s="560">
        <v>4</v>
      </c>
    </row>
    <row r="30" spans="1:39" s="1" customFormat="1" x14ac:dyDescent="0.25">
      <c r="A30" s="553"/>
      <c r="B30" s="555"/>
      <c r="C30" s="90" t="s">
        <v>238</v>
      </c>
      <c r="D30" s="91">
        <v>6</v>
      </c>
      <c r="E30" s="140"/>
      <c r="F30" s="140"/>
      <c r="G30" s="140"/>
      <c r="H30" s="140"/>
      <c r="I30" s="140"/>
      <c r="J30" s="140"/>
      <c r="K30" s="140"/>
      <c r="L30" s="140"/>
      <c r="M30" s="120">
        <f>SUMIF('Наставни ансамбл'!J378:J759,"Марица Травар",'Наставни ансамбл'!G378:G759)</f>
        <v>8</v>
      </c>
      <c r="N30" s="87">
        <f t="shared" si="3"/>
        <v>8</v>
      </c>
      <c r="O30" s="85"/>
      <c r="P30" s="85"/>
      <c r="Q30" s="85"/>
      <c r="R30" s="85"/>
      <c r="S30" s="85"/>
      <c r="T30" s="85"/>
      <c r="U30" s="85"/>
      <c r="V30" s="88">
        <f>SUMIF('Наставни ансамбл'!J378:J759,"Марица Травар",'Наставни ансамбл'!H378:H759)</f>
        <v>8</v>
      </c>
      <c r="W30" s="87">
        <f t="shared" si="0"/>
        <v>8</v>
      </c>
      <c r="X30" s="91">
        <f t="shared" si="4"/>
        <v>12.8</v>
      </c>
      <c r="Y30" s="93">
        <f t="shared" si="2"/>
        <v>213.33333333333334</v>
      </c>
      <c r="Z30" s="557"/>
      <c r="AA30" s="559"/>
      <c r="AB30" s="557"/>
      <c r="AC30" s="557"/>
      <c r="AD30" s="553"/>
      <c r="AE30" s="553"/>
    </row>
    <row r="31" spans="1:39" s="1" customFormat="1" x14ac:dyDescent="0.25">
      <c r="A31" s="552">
        <v>13</v>
      </c>
      <c r="B31" s="587" t="s">
        <v>250</v>
      </c>
      <c r="C31" s="83" t="s">
        <v>237</v>
      </c>
      <c r="D31" s="84">
        <v>6</v>
      </c>
      <c r="E31" s="85"/>
      <c r="F31" s="85"/>
      <c r="G31" s="85"/>
      <c r="H31" s="85"/>
      <c r="I31" s="85"/>
      <c r="J31" s="85"/>
      <c r="K31" s="85"/>
      <c r="L31" s="85"/>
      <c r="M31" s="86">
        <f>SUMIF('Наставни ансамбл'!J14:J368,"Гордана Спасојевић-Стојановић",'Наставни ансамбл'!G14:G368)</f>
        <v>2</v>
      </c>
      <c r="N31" s="87">
        <f t="shared" si="3"/>
        <v>2</v>
      </c>
      <c r="O31" s="85"/>
      <c r="P31" s="85"/>
      <c r="Q31" s="85"/>
      <c r="R31" s="85"/>
      <c r="S31" s="85"/>
      <c r="T31" s="85"/>
      <c r="U31" s="85"/>
      <c r="V31" s="88">
        <f>SUMIF('Наставни ансамбл'!J14:J368,"Гордана Спасојевић-Стојановић",'Наставни ансамбл'!H14:H368)</f>
        <v>3</v>
      </c>
      <c r="W31" s="87">
        <f t="shared" si="0"/>
        <v>3</v>
      </c>
      <c r="X31" s="84">
        <f t="shared" si="4"/>
        <v>3.8</v>
      </c>
      <c r="Y31" s="89">
        <f t="shared" si="2"/>
        <v>63.333333333333329</v>
      </c>
      <c r="Z31" s="556">
        <f>(X31+X32)/2</f>
        <v>5.4</v>
      </c>
      <c r="AA31" s="558">
        <f>Z31/D31*100</f>
        <v>90</v>
      </c>
      <c r="AB31" s="556">
        <f>IF(Z31&lt;=D31,Z31,D31)</f>
        <v>5.4</v>
      </c>
      <c r="AC31" s="556">
        <f>IF(Z31&gt;D31,Z31-D31,0)</f>
        <v>0</v>
      </c>
      <c r="AD31" s="560">
        <v>3</v>
      </c>
      <c r="AE31" s="560">
        <v>4</v>
      </c>
      <c r="AH31" s="98"/>
      <c r="AI31" s="99"/>
      <c r="AJ31" s="99"/>
      <c r="AK31" s="99"/>
      <c r="AL31" s="99"/>
      <c r="AM31" s="99"/>
    </row>
    <row r="32" spans="1:39" s="1" customFormat="1" x14ac:dyDescent="0.25">
      <c r="A32" s="553"/>
      <c r="B32" s="581"/>
      <c r="C32" s="90" t="s">
        <v>238</v>
      </c>
      <c r="D32" s="91">
        <v>6</v>
      </c>
      <c r="E32" s="140"/>
      <c r="F32" s="140"/>
      <c r="G32" s="140"/>
      <c r="H32" s="140"/>
      <c r="I32" s="140"/>
      <c r="J32" s="140"/>
      <c r="K32" s="140"/>
      <c r="L32" s="140"/>
      <c r="M32" s="86">
        <f>SUMIF('Наставни ансамбл'!J378:J759,"Гордана Спасојевић-Стојановић",'Наставни ансамбл'!G378:G759)</f>
        <v>4</v>
      </c>
      <c r="N32" s="87">
        <f t="shared" si="3"/>
        <v>4</v>
      </c>
      <c r="O32" s="85"/>
      <c r="P32" s="85"/>
      <c r="Q32" s="85"/>
      <c r="R32" s="85"/>
      <c r="S32" s="85"/>
      <c r="T32" s="85"/>
      <c r="U32" s="85"/>
      <c r="V32" s="88">
        <f>SUMIF('Наставни ансамбл'!J378:J759,"Гордана Спасојевић-Стојановић",'Наставни ансамбл'!H378:H759)</f>
        <v>5</v>
      </c>
      <c r="W32" s="87">
        <f t="shared" si="0"/>
        <v>5</v>
      </c>
      <c r="X32" s="91">
        <f t="shared" si="4"/>
        <v>7</v>
      </c>
      <c r="Y32" s="93">
        <f t="shared" si="2"/>
        <v>116.66666666666667</v>
      </c>
      <c r="Z32" s="557"/>
      <c r="AA32" s="559"/>
      <c r="AB32" s="557"/>
      <c r="AC32" s="557"/>
      <c r="AD32" s="553"/>
      <c r="AE32" s="553"/>
      <c r="AH32" s="98"/>
      <c r="AI32" s="99"/>
      <c r="AJ32" s="99"/>
      <c r="AK32" s="99"/>
      <c r="AL32" s="99"/>
      <c r="AM32" s="99"/>
    </row>
    <row r="33" spans="1:39" s="1" customFormat="1" x14ac:dyDescent="0.25">
      <c r="A33" s="552">
        <v>14</v>
      </c>
      <c r="B33" s="580" t="s">
        <v>260</v>
      </c>
      <c r="C33" s="83" t="s">
        <v>237</v>
      </c>
      <c r="D33" s="84">
        <v>6</v>
      </c>
      <c r="E33" s="92"/>
      <c r="F33" s="92"/>
      <c r="G33" s="119">
        <v>4</v>
      </c>
      <c r="H33" s="119"/>
      <c r="I33" s="92"/>
      <c r="J33" s="92"/>
      <c r="K33" s="92"/>
      <c r="L33" s="92"/>
      <c r="M33" s="86">
        <f>SUMIF('Наставни ансамбл'!J14:J368,"Љубо Шкиљевић",'Наставни ансамбл'!G14:G368)</f>
        <v>6</v>
      </c>
      <c r="N33" s="87">
        <f t="shared" si="3"/>
        <v>10</v>
      </c>
      <c r="O33" s="85"/>
      <c r="P33" s="85"/>
      <c r="Q33" s="85"/>
      <c r="R33" s="85"/>
      <c r="S33" s="85"/>
      <c r="T33" s="85"/>
      <c r="U33" s="85"/>
      <c r="V33" s="88">
        <f>SUMIF('Наставни ансамбл'!J14:J368,"Љубо Шкиљевић",'Наставни ансамбл'!H14:H368)</f>
        <v>6</v>
      </c>
      <c r="W33" s="87">
        <f t="shared" si="0"/>
        <v>6</v>
      </c>
      <c r="X33" s="84">
        <f t="shared" si="4"/>
        <v>13.6</v>
      </c>
      <c r="Y33" s="89">
        <f t="shared" si="2"/>
        <v>226.66666666666666</v>
      </c>
      <c r="Z33" s="556">
        <f>(X33+X34)/2</f>
        <v>15.8</v>
      </c>
      <c r="AA33" s="558">
        <f>Z33/D33*100</f>
        <v>263.33333333333331</v>
      </c>
      <c r="AB33" s="556">
        <f>IF(Z33&lt;=D33,Z33,D33)</f>
        <v>6</v>
      </c>
      <c r="AC33" s="556">
        <f>IF(Z33&gt;D33,Z33-D33,0)</f>
        <v>9.8000000000000007</v>
      </c>
      <c r="AD33" s="560">
        <v>3</v>
      </c>
      <c r="AE33" s="560">
        <v>4</v>
      </c>
      <c r="AH33" s="98"/>
      <c r="AI33" s="99"/>
      <c r="AJ33" s="99"/>
      <c r="AK33" s="99"/>
      <c r="AL33" s="99"/>
      <c r="AM33" s="99"/>
    </row>
    <row r="34" spans="1:39" s="1" customFormat="1" x14ac:dyDescent="0.25">
      <c r="A34" s="583"/>
      <c r="B34" s="581"/>
      <c r="C34" s="90" t="s">
        <v>238</v>
      </c>
      <c r="D34" s="91">
        <v>6</v>
      </c>
      <c r="E34" s="140"/>
      <c r="F34" s="140"/>
      <c r="G34" s="201">
        <v>4</v>
      </c>
      <c r="H34" s="201"/>
      <c r="I34" s="140"/>
      <c r="J34" s="140"/>
      <c r="K34" s="140"/>
      <c r="L34" s="140"/>
      <c r="M34" s="86">
        <f>SUMIF('Наставни ансамбл'!J378:J759,"Љубо Шкиљевић",'Наставни ансамбл'!G378:G759)</f>
        <v>11</v>
      </c>
      <c r="N34" s="87">
        <f t="shared" si="3"/>
        <v>15</v>
      </c>
      <c r="O34" s="85"/>
      <c r="P34" s="85"/>
      <c r="Q34" s="85"/>
      <c r="R34" s="85"/>
      <c r="S34" s="85"/>
      <c r="T34" s="85"/>
      <c r="U34" s="85"/>
      <c r="V34" s="88">
        <f>SUMIF('Наставни ансамбл'!J378:J759,"Љубо Шкиљевић",'Наставни ансамбл'!H378:H759)</f>
        <v>5</v>
      </c>
      <c r="W34" s="87">
        <f t="shared" si="0"/>
        <v>5</v>
      </c>
      <c r="X34" s="91">
        <f t="shared" si="4"/>
        <v>18</v>
      </c>
      <c r="Y34" s="93">
        <f t="shared" si="2"/>
        <v>300</v>
      </c>
      <c r="Z34" s="557"/>
      <c r="AA34" s="559"/>
      <c r="AB34" s="557"/>
      <c r="AC34" s="557"/>
      <c r="AD34" s="553"/>
      <c r="AE34" s="553"/>
      <c r="AH34" s="98"/>
      <c r="AI34" s="99"/>
      <c r="AJ34" s="99"/>
      <c r="AK34" s="99"/>
      <c r="AL34" s="99"/>
      <c r="AM34" s="99"/>
    </row>
    <row r="35" spans="1:39" s="1" customFormat="1" x14ac:dyDescent="0.25">
      <c r="A35" s="588">
        <v>15</v>
      </c>
      <c r="B35" s="554" t="s">
        <v>210</v>
      </c>
      <c r="C35" s="83" t="s">
        <v>237</v>
      </c>
      <c r="D35" s="84">
        <v>6</v>
      </c>
      <c r="E35" s="85"/>
      <c r="F35" s="85"/>
      <c r="G35" s="85"/>
      <c r="H35" s="85"/>
      <c r="I35" s="85"/>
      <c r="J35" s="85"/>
      <c r="K35" s="85"/>
      <c r="L35" s="85"/>
      <c r="M35" s="86">
        <f>SUMIF('Наставни ансамбл'!J14:J368,"Небојша Митровић",'Наставни ансамбл'!G14:G368)</f>
        <v>20</v>
      </c>
      <c r="N35" s="87">
        <f t="shared" si="3"/>
        <v>20</v>
      </c>
      <c r="O35" s="85"/>
      <c r="P35" s="85"/>
      <c r="Q35" s="85"/>
      <c r="R35" s="85"/>
      <c r="S35" s="85"/>
      <c r="T35" s="85"/>
      <c r="U35" s="85"/>
      <c r="V35" s="88">
        <f>SUMIF('Наставни ансамбл'!J14:J368,"Небојша Митровић",'Наставни ансамбл'!H14:H368)</f>
        <v>0</v>
      </c>
      <c r="W35" s="87">
        <f t="shared" si="0"/>
        <v>0</v>
      </c>
      <c r="X35" s="84">
        <f>N35+(W35*0.6)</f>
        <v>20</v>
      </c>
      <c r="Y35" s="89">
        <f t="shared" si="2"/>
        <v>333.33333333333337</v>
      </c>
      <c r="Z35" s="556">
        <f>(X35+X36)/2</f>
        <v>17</v>
      </c>
      <c r="AA35" s="558">
        <f>Z35/D35*100</f>
        <v>283.33333333333337</v>
      </c>
      <c r="AB35" s="556">
        <f>IF(Z35&lt;=D35,Z35,D35)</f>
        <v>6</v>
      </c>
      <c r="AC35" s="556">
        <f>IF(Z35&gt;D35,Z35-D35,0)</f>
        <v>11</v>
      </c>
      <c r="AD35" s="560">
        <v>8</v>
      </c>
      <c r="AE35" s="560">
        <v>7</v>
      </c>
    </row>
    <row r="36" spans="1:39" s="1" customFormat="1" x14ac:dyDescent="0.25">
      <c r="A36" s="588"/>
      <c r="B36" s="555"/>
      <c r="C36" s="90" t="s">
        <v>238</v>
      </c>
      <c r="D36" s="94">
        <v>6</v>
      </c>
      <c r="E36" s="202"/>
      <c r="F36" s="202"/>
      <c r="G36" s="202"/>
      <c r="H36" s="202"/>
      <c r="I36" s="202"/>
      <c r="J36" s="202"/>
      <c r="K36" s="202"/>
      <c r="L36" s="202"/>
      <c r="M36" s="95">
        <f>SUMIF('Наставни ансамбл'!J378:J759,"Небојша Митровић",'Наставни ансамбл'!G378:G759)</f>
        <v>14</v>
      </c>
      <c r="N36" s="87">
        <f t="shared" si="3"/>
        <v>14</v>
      </c>
      <c r="O36" s="96"/>
      <c r="P36" s="96"/>
      <c r="Q36" s="96"/>
      <c r="R36" s="96"/>
      <c r="S36" s="96"/>
      <c r="T36" s="96"/>
      <c r="U36" s="96"/>
      <c r="V36" s="97">
        <f>SUMIF('Наставни ансамбл'!J378:J759,"Небојша Митровић",'Наставни ансамбл'!H378:H759)</f>
        <v>0</v>
      </c>
      <c r="W36" s="87">
        <f t="shared" si="0"/>
        <v>0</v>
      </c>
      <c r="X36" s="91">
        <f>N36+(W36*0.6)</f>
        <v>14</v>
      </c>
      <c r="Y36" s="93">
        <f t="shared" si="2"/>
        <v>233.33333333333334</v>
      </c>
      <c r="Z36" s="557"/>
      <c r="AA36" s="559"/>
      <c r="AB36" s="557"/>
      <c r="AC36" s="557"/>
      <c r="AD36" s="553"/>
      <c r="AE36" s="553"/>
    </row>
    <row r="37" spans="1:39" s="1" customFormat="1" x14ac:dyDescent="0.25">
      <c r="A37" s="588">
        <v>16</v>
      </c>
      <c r="B37" s="554" t="s">
        <v>281</v>
      </c>
      <c r="C37" s="83" t="s">
        <v>237</v>
      </c>
      <c r="D37" s="84">
        <v>6</v>
      </c>
      <c r="E37" s="85"/>
      <c r="F37" s="85"/>
      <c r="G37" s="85"/>
      <c r="H37" s="85"/>
      <c r="I37" s="85"/>
      <c r="J37" s="85"/>
      <c r="K37" s="85"/>
      <c r="L37" s="85"/>
      <c r="M37" s="86">
        <f>SUMIF('Наставни ансамбл'!J14:J368,"Лидија Јовичић",'Наставни ансамбл'!G14:G368)</f>
        <v>8</v>
      </c>
      <c r="N37" s="87">
        <f t="shared" si="3"/>
        <v>8</v>
      </c>
      <c r="O37" s="85"/>
      <c r="P37" s="85"/>
      <c r="Q37" s="85"/>
      <c r="R37" s="85"/>
      <c r="S37" s="85"/>
      <c r="T37" s="85"/>
      <c r="U37" s="85"/>
      <c r="V37" s="88">
        <f>SUMIF('Наставни ансамбл'!J14:J368,"Лидија Јовичић",'Наставни ансамбл'!H14:H368)</f>
        <v>5</v>
      </c>
      <c r="W37" s="87">
        <f>SUM(O37,P37,Q37,R37,V37,U37)</f>
        <v>5</v>
      </c>
      <c r="X37" s="84">
        <f t="shared" si="4"/>
        <v>11</v>
      </c>
      <c r="Y37" s="89">
        <f t="shared" si="2"/>
        <v>183.33333333333331</v>
      </c>
      <c r="Z37" s="556">
        <f>(X37+X38)/2</f>
        <v>8.3000000000000007</v>
      </c>
      <c r="AA37" s="558">
        <f>Z37/D37*100</f>
        <v>138.33333333333334</v>
      </c>
      <c r="AB37" s="556">
        <f>IF(Z37&lt;=D37,Z37,D37)</f>
        <v>6</v>
      </c>
      <c r="AC37" s="556">
        <f>IF(Z37&gt;D37,Z37-D37,0)</f>
        <v>2.3000000000000007</v>
      </c>
      <c r="AD37" s="560">
        <v>3</v>
      </c>
      <c r="AE37" s="560">
        <v>5</v>
      </c>
    </row>
    <row r="38" spans="1:39" s="1" customFormat="1" x14ac:dyDescent="0.25">
      <c r="A38" s="588"/>
      <c r="B38" s="555"/>
      <c r="C38" s="90" t="s">
        <v>238</v>
      </c>
      <c r="D38" s="94">
        <v>6</v>
      </c>
      <c r="E38" s="202"/>
      <c r="F38" s="202"/>
      <c r="G38" s="202"/>
      <c r="H38" s="202"/>
      <c r="I38" s="202"/>
      <c r="J38" s="202"/>
      <c r="K38" s="202"/>
      <c r="L38" s="202"/>
      <c r="M38" s="95">
        <f>SUMIF('Наставни ансамбл'!J378:J759,"Лидија Јовичић",'Наставни ансамбл'!G378:G759)</f>
        <v>2</v>
      </c>
      <c r="N38" s="87">
        <f t="shared" si="3"/>
        <v>2</v>
      </c>
      <c r="O38" s="96"/>
      <c r="P38" s="96"/>
      <c r="Q38" s="96"/>
      <c r="R38" s="96"/>
      <c r="S38" s="96"/>
      <c r="T38" s="96"/>
      <c r="U38" s="96"/>
      <c r="V38" s="97">
        <f>SUMIF('Наставни ансамбл'!J378:J759,"Лидија Јовичић",'Наставни ансамбл'!H378:H759)</f>
        <v>6</v>
      </c>
      <c r="W38" s="87">
        <f>SUM(O38,P38,Q38,R38,V38,U38)</f>
        <v>6</v>
      </c>
      <c r="X38" s="91">
        <f t="shared" si="4"/>
        <v>5.6</v>
      </c>
      <c r="Y38" s="93">
        <f t="shared" si="2"/>
        <v>93.333333333333329</v>
      </c>
      <c r="Z38" s="557"/>
      <c r="AA38" s="559"/>
      <c r="AB38" s="557"/>
      <c r="AC38" s="557"/>
      <c r="AD38" s="553"/>
      <c r="AE38" s="553"/>
    </row>
    <row r="39" spans="1:39" s="1" customFormat="1" x14ac:dyDescent="0.25">
      <c r="A39" s="588">
        <v>17</v>
      </c>
      <c r="B39" s="554" t="s">
        <v>267</v>
      </c>
      <c r="C39" s="83" t="s">
        <v>237</v>
      </c>
      <c r="D39" s="84">
        <v>6</v>
      </c>
      <c r="E39" s="85"/>
      <c r="F39" s="85"/>
      <c r="G39" s="85"/>
      <c r="H39" s="85"/>
      <c r="I39" s="85"/>
      <c r="J39" s="85"/>
      <c r="K39" s="85"/>
      <c r="L39" s="85"/>
      <c r="M39" s="86">
        <f>SUMIF('Наставни ансамбл'!J14:J368,"Саша Ђукић",'Наставни ансамбл'!G14:G368)</f>
        <v>4</v>
      </c>
      <c r="N39" s="87">
        <f t="shared" si="3"/>
        <v>4</v>
      </c>
      <c r="O39" s="85"/>
      <c r="P39" s="85"/>
      <c r="Q39" s="85"/>
      <c r="R39" s="85"/>
      <c r="S39" s="85"/>
      <c r="T39" s="85"/>
      <c r="U39" s="85"/>
      <c r="V39" s="88">
        <f>SUMIF('Наставни ансамбл'!J14:J368,"Саша Ђукић",'Наставни ансамбл'!H14:H368)</f>
        <v>12</v>
      </c>
      <c r="W39" s="87">
        <f t="shared" ref="W39:W44" si="5">SUM(O39,P39,Q39,R39,V39,U39)</f>
        <v>12</v>
      </c>
      <c r="X39" s="84">
        <f t="shared" si="4"/>
        <v>11.2</v>
      </c>
      <c r="Y39" s="89">
        <f t="shared" si="2"/>
        <v>186.66666666666666</v>
      </c>
      <c r="Z39" s="556">
        <f>(X39+X40)/2</f>
        <v>10.6</v>
      </c>
      <c r="AA39" s="558">
        <f>Z39/D39*100</f>
        <v>176.66666666666666</v>
      </c>
      <c r="AB39" s="556">
        <f>IF(Z39&lt;=D39,Z39,D39)</f>
        <v>6</v>
      </c>
      <c r="AC39" s="556">
        <f>IF(Z39&gt;D39,Z39-D39,0)</f>
        <v>4.5999999999999996</v>
      </c>
      <c r="AD39" s="560">
        <v>6</v>
      </c>
      <c r="AE39" s="560">
        <v>6</v>
      </c>
    </row>
    <row r="40" spans="1:39" s="1" customFormat="1" x14ac:dyDescent="0.25">
      <c r="A40" s="588"/>
      <c r="B40" s="555"/>
      <c r="C40" s="90" t="s">
        <v>238</v>
      </c>
      <c r="D40" s="94">
        <v>6</v>
      </c>
      <c r="E40" s="202"/>
      <c r="F40" s="202"/>
      <c r="G40" s="202"/>
      <c r="H40" s="202"/>
      <c r="I40" s="202"/>
      <c r="J40" s="202"/>
      <c r="K40" s="202"/>
      <c r="L40" s="202"/>
      <c r="M40" s="95">
        <f>SUMIF('Наставни ансамбл'!J378:J759,"Саша Ђукић",'Наставни ансамбл'!G378:G759)</f>
        <v>4</v>
      </c>
      <c r="N40" s="87">
        <f t="shared" si="3"/>
        <v>4</v>
      </c>
      <c r="O40" s="96"/>
      <c r="P40" s="96"/>
      <c r="Q40" s="96"/>
      <c r="R40" s="96"/>
      <c r="S40" s="96"/>
      <c r="T40" s="96"/>
      <c r="U40" s="96"/>
      <c r="V40" s="97">
        <f>SUMIF('Наставни ансамбл'!J378:J759,"Саша Ђукић",'Наставни ансамбл'!H378:H759)</f>
        <v>10</v>
      </c>
      <c r="W40" s="87">
        <f t="shared" si="5"/>
        <v>10</v>
      </c>
      <c r="X40" s="91">
        <f t="shared" si="4"/>
        <v>10</v>
      </c>
      <c r="Y40" s="93">
        <f t="shared" si="2"/>
        <v>166.66666666666669</v>
      </c>
      <c r="Z40" s="557"/>
      <c r="AA40" s="559"/>
      <c r="AB40" s="557"/>
      <c r="AC40" s="557"/>
      <c r="AD40" s="553"/>
      <c r="AE40" s="553"/>
    </row>
    <row r="41" spans="1:39" s="1" customFormat="1" x14ac:dyDescent="0.25">
      <c r="A41" s="552">
        <v>18</v>
      </c>
      <c r="B41" s="589" t="s">
        <v>395</v>
      </c>
      <c r="C41" s="83" t="s">
        <v>237</v>
      </c>
      <c r="D41" s="84">
        <v>6</v>
      </c>
      <c r="E41" s="85"/>
      <c r="F41" s="85"/>
      <c r="G41" s="85"/>
      <c r="H41" s="85"/>
      <c r="I41" s="85"/>
      <c r="J41" s="85"/>
      <c r="K41" s="85"/>
      <c r="L41" s="85"/>
      <c r="M41" s="86">
        <f>SUMIF('Наставни ансамбл'!J14:J368,"Весна Вујичић",'Наставни ансамбл'!G14:G368)</f>
        <v>0</v>
      </c>
      <c r="N41" s="87">
        <f t="shared" si="3"/>
        <v>0</v>
      </c>
      <c r="O41" s="85"/>
      <c r="P41" s="85"/>
      <c r="Q41" s="85"/>
      <c r="R41" s="85"/>
      <c r="S41" s="85"/>
      <c r="T41" s="85"/>
      <c r="U41" s="85"/>
      <c r="V41" s="88">
        <f>SUMIF('Наставни ансамбл'!J14:J368,"Весна Вујичић",'Наставни ансамбл'!H14:H368)</f>
        <v>0</v>
      </c>
      <c r="W41" s="87">
        <f t="shared" si="5"/>
        <v>0</v>
      </c>
      <c r="X41" s="105">
        <f t="shared" si="4"/>
        <v>0</v>
      </c>
      <c r="Y41" s="108">
        <f t="shared" si="2"/>
        <v>0</v>
      </c>
      <c r="Z41" s="591">
        <f>(X41+X42)/2</f>
        <v>0</v>
      </c>
      <c r="AA41" s="592">
        <f>Z41/10*100</f>
        <v>0</v>
      </c>
      <c r="AB41" s="556">
        <f>IF(Z41&lt;=D41,Z41,D41)</f>
        <v>0</v>
      </c>
      <c r="AC41" s="556">
        <f>IF(Z41&gt;D41,Z41-D41,0)</f>
        <v>0</v>
      </c>
      <c r="AD41" s="552">
        <v>7</v>
      </c>
      <c r="AE41" s="560">
        <v>6</v>
      </c>
    </row>
    <row r="42" spans="1:39" s="1" customFormat="1" x14ac:dyDescent="0.25">
      <c r="A42" s="553"/>
      <c r="B42" s="590"/>
      <c r="C42" s="90" t="s">
        <v>238</v>
      </c>
      <c r="D42" s="94">
        <v>6</v>
      </c>
      <c r="E42" s="91"/>
      <c r="F42" s="91"/>
      <c r="G42" s="91"/>
      <c r="H42" s="91"/>
      <c r="I42" s="91"/>
      <c r="J42" s="91"/>
      <c r="K42" s="91"/>
      <c r="L42" s="91"/>
      <c r="M42" s="208">
        <f>SUMIF('Наставни ансамбл'!J378:J759,"Весна Вујичић",'Наставни ансамбл'!G378:G759)</f>
        <v>0</v>
      </c>
      <c r="N42" s="87">
        <f t="shared" si="3"/>
        <v>0</v>
      </c>
      <c r="O42" s="85"/>
      <c r="P42" s="85"/>
      <c r="Q42" s="85"/>
      <c r="R42" s="85"/>
      <c r="S42" s="85"/>
      <c r="T42" s="85"/>
      <c r="U42" s="85"/>
      <c r="V42" s="88">
        <f>SUMIF('Наставни ансамбл'!J378:J759,"Весна Вујичић",'Наставни ансамбл'!H378:H759)</f>
        <v>0</v>
      </c>
      <c r="W42" s="87">
        <f t="shared" si="5"/>
        <v>0</v>
      </c>
      <c r="X42" s="109">
        <f t="shared" si="4"/>
        <v>0</v>
      </c>
      <c r="Y42" s="93">
        <f t="shared" si="2"/>
        <v>0</v>
      </c>
      <c r="Z42" s="557"/>
      <c r="AA42" s="559"/>
      <c r="AB42" s="557"/>
      <c r="AC42" s="557"/>
      <c r="AD42" s="553"/>
      <c r="AE42" s="553"/>
    </row>
    <row r="43" spans="1:39" s="1" customFormat="1" x14ac:dyDescent="0.25">
      <c r="A43" s="585">
        <v>19</v>
      </c>
      <c r="B43" s="589" t="s">
        <v>528</v>
      </c>
      <c r="C43" s="83" t="s">
        <v>237</v>
      </c>
      <c r="D43" s="84">
        <v>6</v>
      </c>
      <c r="E43" s="85"/>
      <c r="F43" s="85"/>
      <c r="G43" s="85"/>
      <c r="H43" s="85"/>
      <c r="I43" s="85"/>
      <c r="J43" s="85"/>
      <c r="K43" s="85"/>
      <c r="L43" s="85"/>
      <c r="M43" s="86">
        <f>SUMIF('Наставни ансамбл'!J14:J368,"Слађана Миљеновић",'Наставни ансамбл'!G14:G368)</f>
        <v>6</v>
      </c>
      <c r="N43" s="87">
        <f t="shared" si="3"/>
        <v>6</v>
      </c>
      <c r="O43" s="85"/>
      <c r="P43" s="85"/>
      <c r="Q43" s="85"/>
      <c r="R43" s="85"/>
      <c r="S43" s="85"/>
      <c r="T43" s="85"/>
      <c r="U43" s="85"/>
      <c r="V43" s="88">
        <f>SUMIF('Наставни ансамбл'!J14:J368,"Слађана Миљеновић",'Наставни ансамбл'!H14:H368)</f>
        <v>5</v>
      </c>
      <c r="W43" s="87">
        <f t="shared" si="5"/>
        <v>5</v>
      </c>
      <c r="X43" s="105">
        <f t="shared" si="4"/>
        <v>9</v>
      </c>
      <c r="Y43" s="108">
        <f t="shared" si="2"/>
        <v>150</v>
      </c>
      <c r="Z43" s="591">
        <f>(X43+X44)/2</f>
        <v>10.199999999999999</v>
      </c>
      <c r="AA43" s="592">
        <f>Z43/10*100</f>
        <v>102</v>
      </c>
      <c r="AB43" s="556">
        <f>IF(Z43&lt;=D43,Z43,D43)</f>
        <v>6</v>
      </c>
      <c r="AC43" s="556">
        <f>IF(Z43&gt;D43,Z43-D43,0)</f>
        <v>4.1999999999999993</v>
      </c>
      <c r="AD43" s="552">
        <v>1</v>
      </c>
      <c r="AE43" s="552">
        <v>5</v>
      </c>
    </row>
    <row r="44" spans="1:39" s="1" customFormat="1" x14ac:dyDescent="0.25">
      <c r="A44" s="553"/>
      <c r="B44" s="590"/>
      <c r="C44" s="90" t="s">
        <v>238</v>
      </c>
      <c r="D44" s="94">
        <v>6</v>
      </c>
      <c r="E44" s="91"/>
      <c r="F44" s="91"/>
      <c r="G44" s="91"/>
      <c r="H44" s="91"/>
      <c r="I44" s="91"/>
      <c r="J44" s="91"/>
      <c r="K44" s="91"/>
      <c r="L44" s="91"/>
      <c r="M44" s="208">
        <f>SUMIF('Наставни ансамбл'!J378:J759,"Слађана Миљеновић",'Наставни ансамбл'!G378:G759)</f>
        <v>9</v>
      </c>
      <c r="N44" s="87">
        <f t="shared" si="3"/>
        <v>9</v>
      </c>
      <c r="O44" s="85"/>
      <c r="P44" s="85"/>
      <c r="Q44" s="85"/>
      <c r="R44" s="85"/>
      <c r="S44" s="85"/>
      <c r="T44" s="85"/>
      <c r="U44" s="85"/>
      <c r="V44" s="88">
        <f>SUMIF('Наставни ансамбл'!J378:J759,"Слађана Миљеновић",'Наставни ансамбл'!H378:H759)</f>
        <v>4</v>
      </c>
      <c r="W44" s="87">
        <f t="shared" si="5"/>
        <v>4</v>
      </c>
      <c r="X44" s="109">
        <f t="shared" si="4"/>
        <v>11.4</v>
      </c>
      <c r="Y44" s="93">
        <f t="shared" si="2"/>
        <v>190</v>
      </c>
      <c r="Z44" s="557"/>
      <c r="AA44" s="559"/>
      <c r="AB44" s="557"/>
      <c r="AC44" s="557"/>
      <c r="AD44" s="553"/>
      <c r="AE44" s="553"/>
    </row>
    <row r="45" spans="1:39" s="1" customFormat="1" x14ac:dyDescent="0.25">
      <c r="A45" s="593">
        <v>20</v>
      </c>
      <c r="B45" s="554" t="s">
        <v>529</v>
      </c>
      <c r="C45" s="83" t="s">
        <v>237</v>
      </c>
      <c r="D45" s="84">
        <v>6</v>
      </c>
      <c r="E45" s="85"/>
      <c r="F45" s="85"/>
      <c r="G45" s="85"/>
      <c r="H45" s="85"/>
      <c r="I45" s="85"/>
      <c r="J45" s="85"/>
      <c r="K45" s="85"/>
      <c r="L45" s="85"/>
      <c r="M45" s="86">
        <f>SUMIF('Наставни ансамбл'!J14:J368,"Сузана Бунчић",'Наставни ансамбл'!G14:G368)</f>
        <v>9</v>
      </c>
      <c r="N45" s="87">
        <f t="shared" si="3"/>
        <v>9</v>
      </c>
      <c r="O45" s="85"/>
      <c r="P45" s="85"/>
      <c r="Q45" s="85"/>
      <c r="R45" s="85"/>
      <c r="S45" s="85"/>
      <c r="T45" s="85"/>
      <c r="U45" s="85"/>
      <c r="V45" s="88">
        <f>SUMIF('Наставни ансамбл'!J14:J368,"Сузана Бунчић",'Наставни ансамбл'!H14:H368)</f>
        <v>11</v>
      </c>
      <c r="W45" s="106">
        <f>SUM(F45,L45,O45,P45,Q45,R45,S45,V45,U45)</f>
        <v>11</v>
      </c>
      <c r="X45" s="157">
        <f t="shared" si="4"/>
        <v>15.6</v>
      </c>
      <c r="Y45" s="108">
        <f>X45/D45*100</f>
        <v>260</v>
      </c>
      <c r="Z45" s="591">
        <f>(X45+X46)/2</f>
        <v>13.899999999999999</v>
      </c>
      <c r="AA45" s="592">
        <f>Z45/10*100</f>
        <v>139</v>
      </c>
      <c r="AB45" s="556">
        <f>IF(Z45&lt;=D45,Z45,D45)</f>
        <v>6</v>
      </c>
      <c r="AC45" s="556">
        <f>IF(Z45&gt;D45,Z45-D45,0)</f>
        <v>7.8999999999999986</v>
      </c>
      <c r="AD45" s="552">
        <v>6</v>
      </c>
      <c r="AE45" s="552">
        <v>5</v>
      </c>
    </row>
    <row r="46" spans="1:39" s="1" customFormat="1" x14ac:dyDescent="0.25">
      <c r="A46" s="594"/>
      <c r="B46" s="555"/>
      <c r="C46" s="90" t="s">
        <v>238</v>
      </c>
      <c r="D46" s="94">
        <v>6</v>
      </c>
      <c r="E46" s="91"/>
      <c r="F46" s="91"/>
      <c r="G46" s="91"/>
      <c r="H46" s="91"/>
      <c r="I46" s="91"/>
      <c r="J46" s="91"/>
      <c r="K46" s="91"/>
      <c r="L46" s="91"/>
      <c r="M46" s="208">
        <f>SUMIF('Наставни ансамбл'!J378:J759,"Сузана Бунчић",'Наставни ансамбл'!G378:G759)</f>
        <v>8</v>
      </c>
      <c r="N46" s="87">
        <f t="shared" si="3"/>
        <v>8</v>
      </c>
      <c r="O46" s="85"/>
      <c r="P46" s="85"/>
      <c r="Q46" s="85"/>
      <c r="R46" s="85"/>
      <c r="S46" s="85"/>
      <c r="T46" s="85"/>
      <c r="U46" s="85"/>
      <c r="V46" s="88">
        <f>SUMIF('Наставни ансамбл'!J378:J759,"Сузана Бунчић",'Наставни ансамбл'!H378:H759)</f>
        <v>7</v>
      </c>
      <c r="W46" s="106">
        <f>SUM(F46,O46,P46,Q46,R46,S46,V46,U46)</f>
        <v>7</v>
      </c>
      <c r="X46" s="111">
        <f t="shared" si="4"/>
        <v>12.2</v>
      </c>
      <c r="Y46" s="93">
        <f>X46/D46*100</f>
        <v>203.33333333333331</v>
      </c>
      <c r="Z46" s="557"/>
      <c r="AA46" s="559"/>
      <c r="AB46" s="557"/>
      <c r="AC46" s="557"/>
      <c r="AD46" s="553"/>
      <c r="AE46" s="553"/>
    </row>
    <row r="47" spans="1:39" s="1" customFormat="1" x14ac:dyDescent="0.25">
      <c r="A47" s="261"/>
      <c r="B47" s="595" t="s">
        <v>251</v>
      </c>
      <c r="C47" s="597" t="s">
        <v>237</v>
      </c>
      <c r="D47" s="598"/>
      <c r="E47" s="262"/>
      <c r="F47" s="262"/>
      <c r="G47" s="262"/>
      <c r="H47" s="262"/>
      <c r="I47" s="262"/>
      <c r="J47" s="262"/>
      <c r="K47" s="262"/>
      <c r="L47" s="262"/>
      <c r="M47" s="257">
        <f>M7+M9+M11+M13+M15+M17+M19+M21+M23+M25+M27+M29+M31+M33+M35+M37+M39+M41+M43+M45</f>
        <v>154</v>
      </c>
      <c r="N47" s="209">
        <f>N7+N9+N11+N13+N15+N17+N19+N21+N23+N25+N27+N29+N31+N33+N35+N37+N39</f>
        <v>143</v>
      </c>
      <c r="O47" s="257"/>
      <c r="P47" s="257"/>
      <c r="Q47" s="257"/>
      <c r="R47" s="257"/>
      <c r="S47" s="257"/>
      <c r="T47" s="257"/>
      <c r="U47" s="257"/>
      <c r="V47" s="257">
        <f t="shared" ref="V47:X48" si="6">V7+V9+V11+V13+V15+V17+V19+V21+V23+V25+V27+V29+V31+V33+V35+V37+V39</f>
        <v>68</v>
      </c>
      <c r="W47" s="257">
        <f t="shared" si="6"/>
        <v>68</v>
      </c>
      <c r="X47" s="257">
        <f t="shared" si="6"/>
        <v>183.79999999999998</v>
      </c>
      <c r="Y47" s="93"/>
      <c r="Z47" s="599">
        <f>SUM(Z7:Z40)</f>
        <v>187.9</v>
      </c>
      <c r="AA47" s="101"/>
      <c r="AB47" s="599">
        <f>SUM(AB7:AB40)</f>
        <v>98.4</v>
      </c>
      <c r="AC47" s="599">
        <f>SUM(AC7:AC40)</f>
        <v>89.5</v>
      </c>
      <c r="AD47" s="552"/>
      <c r="AE47" s="552"/>
      <c r="AH47" s="98"/>
      <c r="AI47" s="99"/>
      <c r="AJ47" s="99"/>
      <c r="AK47" s="99"/>
      <c r="AL47" s="99"/>
      <c r="AM47" s="99"/>
    </row>
    <row r="48" spans="1:39" s="1" customFormat="1" x14ac:dyDescent="0.25">
      <c r="A48" s="261"/>
      <c r="B48" s="596"/>
      <c r="C48" s="601" t="s">
        <v>238</v>
      </c>
      <c r="D48" s="602"/>
      <c r="E48" s="263"/>
      <c r="F48" s="263"/>
      <c r="G48" s="263"/>
      <c r="H48" s="263"/>
      <c r="I48" s="263"/>
      <c r="J48" s="263"/>
      <c r="K48" s="263"/>
      <c r="L48" s="263"/>
      <c r="M48" s="257">
        <f>M8+M10+M12+M14+M16+M18+M20+M22+M24+M26+M28+M30+M32+M34+M36+M38+M40+M42+M44+M46</f>
        <v>151</v>
      </c>
      <c r="N48" s="257">
        <f>N8+N10+N12+N14+N16+N18+N20+N22+N24+N26+N28+N30+N32+N34+N36+N38+N40</f>
        <v>144</v>
      </c>
      <c r="O48" s="257"/>
      <c r="P48" s="257"/>
      <c r="Q48" s="257"/>
      <c r="R48" s="257"/>
      <c r="S48" s="257"/>
      <c r="T48" s="257"/>
      <c r="U48" s="257"/>
      <c r="V48" s="257">
        <f t="shared" si="6"/>
        <v>80</v>
      </c>
      <c r="W48" s="257">
        <f t="shared" si="6"/>
        <v>80</v>
      </c>
      <c r="X48" s="257">
        <f t="shared" si="6"/>
        <v>192</v>
      </c>
      <c r="Y48" s="93"/>
      <c r="Z48" s="600"/>
      <c r="AA48" s="101"/>
      <c r="AB48" s="600"/>
      <c r="AC48" s="600"/>
      <c r="AD48" s="583"/>
      <c r="AE48" s="583"/>
      <c r="AH48" s="98"/>
      <c r="AI48" s="99"/>
      <c r="AJ48" s="99"/>
      <c r="AK48" s="99"/>
      <c r="AL48" s="99"/>
      <c r="AM48" s="99"/>
    </row>
    <row r="49" spans="1:31" s="1" customFormat="1" x14ac:dyDescent="0.25">
      <c r="A49" s="100"/>
      <c r="B49" s="102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103"/>
      <c r="Z49" s="100"/>
      <c r="AA49" s="104"/>
      <c r="AB49" s="104"/>
      <c r="AC49" s="104"/>
      <c r="AD49" s="100"/>
      <c r="AE49" s="100"/>
    </row>
    <row r="50" spans="1:31" s="193" customFormat="1" ht="18.75" x14ac:dyDescent="0.3">
      <c r="A50" s="603" t="s">
        <v>252</v>
      </c>
      <c r="B50" s="603"/>
      <c r="C50" s="195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7"/>
      <c r="Z50" s="198"/>
      <c r="AA50" s="199"/>
      <c r="AB50" s="199"/>
      <c r="AC50" s="199"/>
      <c r="AD50" s="198"/>
      <c r="AE50" s="198"/>
    </row>
    <row r="51" spans="1:31" s="1" customFormat="1" x14ac:dyDescent="0.25">
      <c r="A51" s="552">
        <v>21</v>
      </c>
      <c r="B51" s="554" t="s">
        <v>394</v>
      </c>
      <c r="C51" s="83" t="s">
        <v>237</v>
      </c>
      <c r="D51" s="84">
        <v>10</v>
      </c>
      <c r="E51" s="85"/>
      <c r="F51" s="118">
        <v>4</v>
      </c>
      <c r="G51" s="85"/>
      <c r="H51" s="85"/>
      <c r="I51" s="85"/>
      <c r="J51" s="85"/>
      <c r="K51" s="85"/>
      <c r="L51" s="118">
        <v>2</v>
      </c>
      <c r="M51" s="84"/>
      <c r="N51" s="84"/>
      <c r="O51" s="85"/>
      <c r="P51" s="85"/>
      <c r="Q51" s="85"/>
      <c r="R51" s="85"/>
      <c r="S51" s="85"/>
      <c r="T51" s="85"/>
      <c r="U51" s="85"/>
      <c r="V51" s="88">
        <f>SUMIF('Наставни ансамбл'!J14:J368,"Владан Тодић",'Наставни ансамбл'!H14:H368)</f>
        <v>0</v>
      </c>
      <c r="W51" s="106">
        <f>SUM(E51:V51)</f>
        <v>6</v>
      </c>
      <c r="X51" s="109">
        <f t="shared" ref="X51:X62" si="7">W51</f>
        <v>6</v>
      </c>
      <c r="Y51" s="108">
        <f t="shared" ref="Y51:Y60" si="8">X51/D51*100</f>
        <v>60</v>
      </c>
      <c r="Z51" s="591">
        <f>(X51+X52)/2</f>
        <v>5.5</v>
      </c>
      <c r="AA51" s="592">
        <f>Z51/10*100</f>
        <v>55.000000000000007</v>
      </c>
      <c r="AB51" s="556">
        <f>IF(Z51&lt;=D51,Z51,D51)</f>
        <v>5.5</v>
      </c>
      <c r="AC51" s="556">
        <f>IF(Z51&gt;D51,Z51-D51,0)</f>
        <v>0</v>
      </c>
      <c r="AD51" s="560">
        <v>5</v>
      </c>
      <c r="AE51" s="560">
        <v>4</v>
      </c>
    </row>
    <row r="52" spans="1:31" s="1" customFormat="1" x14ac:dyDescent="0.25">
      <c r="A52" s="553"/>
      <c r="B52" s="555"/>
      <c r="C52" s="90" t="s">
        <v>238</v>
      </c>
      <c r="D52" s="91">
        <v>10</v>
      </c>
      <c r="E52" s="91"/>
      <c r="F52" s="138">
        <v>5</v>
      </c>
      <c r="G52" s="91"/>
      <c r="H52" s="91"/>
      <c r="I52" s="91"/>
      <c r="J52" s="91"/>
      <c r="K52" s="91"/>
      <c r="L52" s="91"/>
      <c r="M52" s="91"/>
      <c r="N52" s="91"/>
      <c r="O52" s="85"/>
      <c r="P52" s="85"/>
      <c r="Q52" s="85"/>
      <c r="R52" s="85"/>
      <c r="S52" s="118"/>
      <c r="T52" s="85"/>
      <c r="U52" s="85"/>
      <c r="V52" s="88">
        <f>SUMIF('Наставни ансамбл'!J378:J759,"Владан Тодић",'Наставни ансамбл'!H378:H759)</f>
        <v>0</v>
      </c>
      <c r="W52" s="106">
        <f>SUM(F52,O52,P52,Q52,R52,S52,V52,U52)</f>
        <v>5</v>
      </c>
      <c r="X52" s="109">
        <f t="shared" si="7"/>
        <v>5</v>
      </c>
      <c r="Y52" s="93">
        <f t="shared" si="8"/>
        <v>50</v>
      </c>
      <c r="Z52" s="557"/>
      <c r="AA52" s="559"/>
      <c r="AB52" s="557"/>
      <c r="AC52" s="557"/>
      <c r="AD52" s="553"/>
      <c r="AE52" s="553"/>
    </row>
    <row r="53" spans="1:31" s="1" customFormat="1" ht="13.15" customHeight="1" x14ac:dyDescent="0.25">
      <c r="A53" s="585">
        <v>22</v>
      </c>
      <c r="B53" s="554" t="s">
        <v>396</v>
      </c>
      <c r="C53" s="83" t="s">
        <v>237</v>
      </c>
      <c r="D53" s="84">
        <v>10</v>
      </c>
      <c r="E53" s="85"/>
      <c r="F53" s="85"/>
      <c r="G53" s="85"/>
      <c r="H53" s="85"/>
      <c r="I53" s="85"/>
      <c r="J53" s="85"/>
      <c r="K53" s="85"/>
      <c r="L53" s="85"/>
      <c r="M53" s="84"/>
      <c r="N53" s="84"/>
      <c r="O53" s="85"/>
      <c r="P53" s="85"/>
      <c r="Q53" s="85"/>
      <c r="R53" s="85"/>
      <c r="S53" s="85"/>
      <c r="T53" s="85"/>
      <c r="U53" s="85"/>
      <c r="V53" s="88">
        <f>SUMIF('Наставни ансамбл'!J14:J368,"Рада Голуб",'Наставни ансамбл'!H14:H368)</f>
        <v>0</v>
      </c>
      <c r="W53" s="106">
        <f t="shared" ref="W53:W60" si="9">SUM(O53,P53,Q53,R53,V53,U53)</f>
        <v>0</v>
      </c>
      <c r="X53" s="109">
        <f t="shared" si="7"/>
        <v>0</v>
      </c>
      <c r="Y53" s="108">
        <f t="shared" si="8"/>
        <v>0</v>
      </c>
      <c r="Z53" s="591">
        <f>(X53+X54)/2</f>
        <v>0</v>
      </c>
      <c r="AA53" s="592">
        <f>Z53/10*100</f>
        <v>0</v>
      </c>
      <c r="AB53" s="556">
        <f>IF(Z53&lt;=D53,Z53,D53)</f>
        <v>0</v>
      </c>
      <c r="AC53" s="556">
        <f>IF(Z53&gt;D53,Z53-D53,0)</f>
        <v>0</v>
      </c>
      <c r="AD53" s="552">
        <v>0</v>
      </c>
      <c r="AE53" s="560">
        <v>0</v>
      </c>
    </row>
    <row r="54" spans="1:31" s="1" customFormat="1" x14ac:dyDescent="0.25">
      <c r="A54" s="553"/>
      <c r="B54" s="555"/>
      <c r="C54" s="90" t="s">
        <v>238</v>
      </c>
      <c r="D54" s="91">
        <v>10</v>
      </c>
      <c r="E54" s="138"/>
      <c r="F54" s="91"/>
      <c r="G54" s="91"/>
      <c r="H54" s="91"/>
      <c r="I54" s="91"/>
      <c r="J54" s="91"/>
      <c r="K54" s="91"/>
      <c r="L54" s="91"/>
      <c r="M54" s="91"/>
      <c r="N54" s="91"/>
      <c r="O54" s="85"/>
      <c r="P54" s="85"/>
      <c r="Q54" s="85"/>
      <c r="R54" s="85"/>
      <c r="S54" s="85"/>
      <c r="T54" s="85"/>
      <c r="U54" s="85"/>
      <c r="V54" s="88">
        <f>SUMIF('Наставни ансамбл'!J378:J759,"Рада Голуб",'Наставни ансамбл'!H378:H759)</f>
        <v>0</v>
      </c>
      <c r="W54" s="106">
        <f t="shared" si="9"/>
        <v>0</v>
      </c>
      <c r="X54" s="109">
        <f t="shared" si="7"/>
        <v>0</v>
      </c>
      <c r="Y54" s="93">
        <f t="shared" si="8"/>
        <v>0</v>
      </c>
      <c r="Z54" s="557"/>
      <c r="AA54" s="559"/>
      <c r="AB54" s="557"/>
      <c r="AC54" s="557"/>
      <c r="AD54" s="553"/>
      <c r="AE54" s="553"/>
    </row>
    <row r="55" spans="1:31" s="1" customFormat="1" x14ac:dyDescent="0.25">
      <c r="A55" s="552">
        <v>23</v>
      </c>
      <c r="B55" s="554" t="s">
        <v>325</v>
      </c>
      <c r="C55" s="83" t="s">
        <v>237</v>
      </c>
      <c r="D55" s="84">
        <v>10</v>
      </c>
      <c r="E55" s="85"/>
      <c r="F55" s="85"/>
      <c r="G55" s="85"/>
      <c r="H55" s="85"/>
      <c r="I55" s="85"/>
      <c r="J55" s="85"/>
      <c r="K55" s="85"/>
      <c r="L55" s="85"/>
      <c r="M55" s="84"/>
      <c r="N55" s="84"/>
      <c r="O55" s="85"/>
      <c r="P55" s="85"/>
      <c r="Q55" s="85"/>
      <c r="R55" s="85"/>
      <c r="S55" s="85"/>
      <c r="T55" s="85"/>
      <c r="U55" s="85"/>
      <c r="V55" s="88">
        <f>SUMIF('Наставни ансамбл'!J14:J368,"Слађана Митровић",'Наставни ансамбл'!H14:H368)</f>
        <v>0</v>
      </c>
      <c r="W55" s="87">
        <f t="shared" si="9"/>
        <v>0</v>
      </c>
      <c r="X55" s="109">
        <f t="shared" si="7"/>
        <v>0</v>
      </c>
      <c r="Y55" s="89">
        <f t="shared" si="8"/>
        <v>0</v>
      </c>
      <c r="Z55" s="556">
        <f>(X55+X56)/2</f>
        <v>0</v>
      </c>
      <c r="AA55" s="558">
        <f>Z55/10*100</f>
        <v>0</v>
      </c>
      <c r="AB55" s="556">
        <f>IF(Z55&lt;=D55,Z55,D55)</f>
        <v>0</v>
      </c>
      <c r="AC55" s="556">
        <f>IF(Z55&gt;D55,Z55-D55,0)</f>
        <v>0</v>
      </c>
      <c r="AD55" s="552">
        <v>2</v>
      </c>
      <c r="AE55" s="560">
        <v>3</v>
      </c>
    </row>
    <row r="56" spans="1:31" s="1" customFormat="1" x14ac:dyDescent="0.25">
      <c r="A56" s="553"/>
      <c r="B56" s="555"/>
      <c r="C56" s="90" t="s">
        <v>238</v>
      </c>
      <c r="D56" s="91">
        <v>10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85"/>
      <c r="P56" s="85"/>
      <c r="Q56" s="85"/>
      <c r="R56" s="85"/>
      <c r="S56" s="85"/>
      <c r="T56" s="85"/>
      <c r="U56" s="85"/>
      <c r="V56" s="88">
        <f>SUMIF('Наставни ансамбл'!J378:J759,"Слађана Митровић",'Наставни ансамбл'!H378:H759)</f>
        <v>0</v>
      </c>
      <c r="W56" s="106">
        <f t="shared" si="9"/>
        <v>0</v>
      </c>
      <c r="X56" s="109">
        <f t="shared" si="7"/>
        <v>0</v>
      </c>
      <c r="Y56" s="93">
        <f t="shared" si="8"/>
        <v>0</v>
      </c>
      <c r="Z56" s="557"/>
      <c r="AA56" s="559"/>
      <c r="AB56" s="557"/>
      <c r="AC56" s="557"/>
      <c r="AD56" s="553"/>
      <c r="AE56" s="604"/>
    </row>
    <row r="57" spans="1:31" s="1" customFormat="1" x14ac:dyDescent="0.25">
      <c r="A57" s="552">
        <v>24</v>
      </c>
      <c r="B57" s="554" t="s">
        <v>323</v>
      </c>
      <c r="C57" s="83" t="s">
        <v>237</v>
      </c>
      <c r="D57" s="84">
        <v>10</v>
      </c>
      <c r="E57" s="85"/>
      <c r="F57" s="85"/>
      <c r="G57" s="85"/>
      <c r="H57" s="85"/>
      <c r="I57" s="85"/>
      <c r="J57" s="85"/>
      <c r="K57" s="85"/>
      <c r="L57" s="85"/>
      <c r="M57" s="84"/>
      <c r="N57" s="84"/>
      <c r="O57" s="85"/>
      <c r="P57" s="85"/>
      <c r="Q57" s="85"/>
      <c r="R57" s="85"/>
      <c r="S57" s="85"/>
      <c r="T57" s="85"/>
      <c r="U57" s="85"/>
      <c r="V57" s="88">
        <f>SUMIF('Наставни ансамбл'!J14:J368,"Дејан Стевић",'Наставни ансамбл'!H14:H368)</f>
        <v>14</v>
      </c>
      <c r="W57" s="106">
        <f>SUM(E57,O57,P57,Q57,R57,V57,U57)</f>
        <v>14</v>
      </c>
      <c r="X57" s="109">
        <f t="shared" si="7"/>
        <v>14</v>
      </c>
      <c r="Y57" s="113">
        <f t="shared" si="8"/>
        <v>140</v>
      </c>
      <c r="Z57" s="556">
        <f>(X57+X58)/2</f>
        <v>10.5</v>
      </c>
      <c r="AA57" s="558">
        <f>Z57/10*100</f>
        <v>105</v>
      </c>
      <c r="AB57" s="556">
        <f>IF(Z57&lt;=D57,Z57,D57)</f>
        <v>10</v>
      </c>
      <c r="AC57" s="556">
        <f>IF(Z57&gt;D57,Z57-D57,0)</f>
        <v>0.5</v>
      </c>
      <c r="AD57" s="552">
        <v>7</v>
      </c>
      <c r="AE57" s="552">
        <v>3</v>
      </c>
    </row>
    <row r="58" spans="1:31" s="1" customFormat="1" x14ac:dyDescent="0.25">
      <c r="A58" s="583"/>
      <c r="B58" s="584"/>
      <c r="C58" s="90" t="s">
        <v>238</v>
      </c>
      <c r="D58" s="91">
        <v>10</v>
      </c>
      <c r="E58" s="138"/>
      <c r="F58" s="91"/>
      <c r="G58" s="91"/>
      <c r="H58" s="91"/>
      <c r="I58" s="91"/>
      <c r="J58" s="91"/>
      <c r="K58" s="91"/>
      <c r="L58" s="91"/>
      <c r="M58" s="91"/>
      <c r="N58" s="91"/>
      <c r="O58" s="85"/>
      <c r="P58" s="85"/>
      <c r="Q58" s="85"/>
      <c r="R58" s="85"/>
      <c r="S58" s="85"/>
      <c r="T58" s="85"/>
      <c r="U58" s="85"/>
      <c r="V58" s="88">
        <f>SUMIF('Наставни ансамбл'!J378:J759,"Дејан Стевић",'Наставни ансамбл'!H378:H759)</f>
        <v>7</v>
      </c>
      <c r="W58" s="106">
        <f>SUM(E58,O58,P58,Q58,R58,V58,U58)</f>
        <v>7</v>
      </c>
      <c r="X58" s="109">
        <f t="shared" si="7"/>
        <v>7</v>
      </c>
      <c r="Y58" s="93">
        <f t="shared" si="8"/>
        <v>70</v>
      </c>
      <c r="Z58" s="583"/>
      <c r="AA58" s="583"/>
      <c r="AB58" s="583"/>
      <c r="AC58" s="583"/>
      <c r="AD58" s="583"/>
      <c r="AE58" s="583"/>
    </row>
    <row r="59" spans="1:31" s="1" customFormat="1" x14ac:dyDescent="0.25">
      <c r="A59" s="552">
        <v>25</v>
      </c>
      <c r="B59" s="554" t="s">
        <v>384</v>
      </c>
      <c r="C59" s="83" t="s">
        <v>237</v>
      </c>
      <c r="D59" s="84">
        <v>10</v>
      </c>
      <c r="E59" s="85"/>
      <c r="F59" s="85"/>
      <c r="G59" s="85"/>
      <c r="H59" s="85"/>
      <c r="I59" s="85"/>
      <c r="J59" s="85"/>
      <c r="K59" s="85"/>
      <c r="L59" s="85"/>
      <c r="M59" s="84"/>
      <c r="N59" s="84"/>
      <c r="O59" s="85"/>
      <c r="P59" s="85"/>
      <c r="Q59" s="85"/>
      <c r="R59" s="85"/>
      <c r="S59" s="85"/>
      <c r="T59" s="85"/>
      <c r="U59" s="85"/>
      <c r="V59" s="88">
        <f>SUMIF('Наставни ансамбл'!J14:J368,"Добринко Дринић",'Наставни ансамбл'!H14:H368)</f>
        <v>15</v>
      </c>
      <c r="W59" s="87">
        <f t="shared" si="9"/>
        <v>15</v>
      </c>
      <c r="X59" s="109">
        <f t="shared" si="7"/>
        <v>15</v>
      </c>
      <c r="Y59" s="89">
        <f t="shared" si="8"/>
        <v>150</v>
      </c>
      <c r="Z59" s="556">
        <f>(X59+X60)/2</f>
        <v>14.5</v>
      </c>
      <c r="AA59" s="558">
        <f>Z59/10*100</f>
        <v>145</v>
      </c>
      <c r="AB59" s="556">
        <f>IF(Z59&lt;=D59,Z59,D59)</f>
        <v>10</v>
      </c>
      <c r="AC59" s="556">
        <f>IF(Z59&gt;D59,Z59-D59,0)</f>
        <v>4.5</v>
      </c>
      <c r="AD59" s="552">
        <v>7</v>
      </c>
      <c r="AE59" s="560">
        <v>4</v>
      </c>
    </row>
    <row r="60" spans="1:31" s="1" customFormat="1" x14ac:dyDescent="0.25">
      <c r="A60" s="553"/>
      <c r="B60" s="555"/>
      <c r="C60" s="90" t="s">
        <v>238</v>
      </c>
      <c r="D60" s="91">
        <v>10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85"/>
      <c r="P60" s="85"/>
      <c r="Q60" s="85"/>
      <c r="R60" s="85"/>
      <c r="S60" s="85"/>
      <c r="T60" s="85"/>
      <c r="U60" s="85"/>
      <c r="V60" s="88">
        <f>SUMIF('Наставни ансамбл'!J378:J759,"Добринко Дринић",'Наставни ансамбл'!H378:H759)</f>
        <v>14</v>
      </c>
      <c r="W60" s="106">
        <f t="shared" si="9"/>
        <v>14</v>
      </c>
      <c r="X60" s="109">
        <f t="shared" si="7"/>
        <v>14</v>
      </c>
      <c r="Y60" s="93">
        <f t="shared" si="8"/>
        <v>140</v>
      </c>
      <c r="Z60" s="557"/>
      <c r="AA60" s="559"/>
      <c r="AB60" s="557"/>
      <c r="AC60" s="557"/>
      <c r="AD60" s="553"/>
      <c r="AE60" s="604"/>
    </row>
    <row r="61" spans="1:31" s="1" customFormat="1" x14ac:dyDescent="0.25">
      <c r="A61" s="552">
        <v>26</v>
      </c>
      <c r="B61" s="554" t="s">
        <v>410</v>
      </c>
      <c r="C61" s="83" t="s">
        <v>237</v>
      </c>
      <c r="D61" s="84">
        <v>10</v>
      </c>
      <c r="E61" s="85"/>
      <c r="F61" s="85"/>
      <c r="G61" s="85"/>
      <c r="H61" s="85"/>
      <c r="I61" s="85"/>
      <c r="J61" s="85"/>
      <c r="K61" s="85"/>
      <c r="L61" s="85"/>
      <c r="M61" s="84"/>
      <c r="N61" s="84"/>
      <c r="O61" s="85"/>
      <c r="P61" s="85"/>
      <c r="Q61" s="85"/>
      <c r="R61" s="85"/>
      <c r="S61" s="85"/>
      <c r="T61" s="85"/>
      <c r="U61" s="85"/>
      <c r="V61" s="88">
        <f>SUMIF('Наставни ансамбл'!J16:J370,"Неда Гаврић",'Наставни ансамбл'!H16:H370)</f>
        <v>4</v>
      </c>
      <c r="W61" s="87">
        <f t="shared" ref="W61:W62" si="10">SUM(O61,P61,Q61,R61,V61,U61)</f>
        <v>4</v>
      </c>
      <c r="X61" s="109">
        <f t="shared" si="7"/>
        <v>4</v>
      </c>
      <c r="Y61" s="89">
        <f t="shared" ref="Y61:Y62" si="11">X61/D61*100</f>
        <v>40</v>
      </c>
      <c r="Z61" s="556">
        <f>(X61+X62)/2</f>
        <v>6.5</v>
      </c>
      <c r="AA61" s="558">
        <f>Z61/10*100</f>
        <v>65</v>
      </c>
      <c r="AB61" s="556">
        <f>IF(Z61&lt;=D61,Z61,D61)</f>
        <v>6.5</v>
      </c>
      <c r="AC61" s="556">
        <f>IF(Z61&gt;D61,Z61-D61,0)</f>
        <v>0</v>
      </c>
      <c r="AD61" s="552">
        <v>7</v>
      </c>
      <c r="AE61" s="560">
        <v>4</v>
      </c>
    </row>
    <row r="62" spans="1:31" s="1" customFormat="1" x14ac:dyDescent="0.25">
      <c r="A62" s="553"/>
      <c r="B62" s="555"/>
      <c r="C62" s="90" t="s">
        <v>238</v>
      </c>
      <c r="D62" s="91">
        <v>10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85"/>
      <c r="P62" s="85"/>
      <c r="Q62" s="85"/>
      <c r="R62" s="85"/>
      <c r="S62" s="85"/>
      <c r="T62" s="85"/>
      <c r="U62" s="85"/>
      <c r="V62" s="88">
        <f>SUMIF('Наставни ансамбл'!J380:J761,"Неда Гаврић",'Наставни ансамбл'!H380:H761)</f>
        <v>9</v>
      </c>
      <c r="W62" s="106">
        <f t="shared" si="10"/>
        <v>9</v>
      </c>
      <c r="X62" s="109">
        <f t="shared" si="7"/>
        <v>9</v>
      </c>
      <c r="Y62" s="93">
        <f t="shared" si="11"/>
        <v>90</v>
      </c>
      <c r="Z62" s="557"/>
      <c r="AA62" s="559"/>
      <c r="AB62" s="557"/>
      <c r="AC62" s="557"/>
      <c r="AD62" s="553"/>
      <c r="AE62" s="604"/>
    </row>
    <row r="63" spans="1:31" s="1" customFormat="1" x14ac:dyDescent="0.25">
      <c r="A63" s="261"/>
      <c r="B63" s="605" t="s">
        <v>251</v>
      </c>
      <c r="C63" s="606" t="s">
        <v>237</v>
      </c>
      <c r="D63" s="606"/>
      <c r="E63" s="260"/>
      <c r="F63" s="260"/>
      <c r="G63" s="260"/>
      <c r="H63" s="260"/>
      <c r="I63" s="260"/>
      <c r="J63" s="260"/>
      <c r="K63" s="260"/>
      <c r="L63" s="260"/>
      <c r="M63" s="260"/>
      <c r="N63" s="257">
        <f>SUM(N51:N60)</f>
        <v>0</v>
      </c>
      <c r="O63" s="257"/>
      <c r="P63" s="257"/>
      <c r="Q63" s="257"/>
      <c r="R63" s="257"/>
      <c r="S63" s="257"/>
      <c r="T63" s="257"/>
      <c r="U63" s="257"/>
      <c r="V63" s="257">
        <f>V45+V51+V53+V55+V57+V59</f>
        <v>40</v>
      </c>
      <c r="W63" s="257">
        <f>W45+W51+W53+W55+W57+W59</f>
        <v>46</v>
      </c>
      <c r="X63" s="257">
        <f>X45+X51+X53+X57+X59</f>
        <v>50.6</v>
      </c>
      <c r="Y63" s="93"/>
      <c r="Z63" s="607">
        <f>SUM(Z45:Z60)</f>
        <v>232.3</v>
      </c>
      <c r="AA63" s="101"/>
      <c r="AB63" s="607">
        <f>SUM(AB45:AB60)</f>
        <v>129.9</v>
      </c>
      <c r="AC63" s="607">
        <f>SUM(AC45:AC60)</f>
        <v>102.4</v>
      </c>
      <c r="AD63" s="552"/>
      <c r="AE63" s="552"/>
    </row>
    <row r="64" spans="1:31" s="1" customFormat="1" x14ac:dyDescent="0.25">
      <c r="A64" s="261"/>
      <c r="B64" s="605"/>
      <c r="C64" s="608" t="s">
        <v>238</v>
      </c>
      <c r="D64" s="608"/>
      <c r="E64" s="257"/>
      <c r="F64" s="257"/>
      <c r="G64" s="257"/>
      <c r="H64" s="257"/>
      <c r="I64" s="257"/>
      <c r="J64" s="257"/>
      <c r="K64" s="257"/>
      <c r="L64" s="257"/>
      <c r="M64" s="257"/>
      <c r="N64" s="257">
        <f>SUM(N60)</f>
        <v>0</v>
      </c>
      <c r="O64" s="257"/>
      <c r="P64" s="257"/>
      <c r="Q64" s="257"/>
      <c r="R64" s="257"/>
      <c r="S64" s="257"/>
      <c r="T64" s="257"/>
      <c r="U64" s="257"/>
      <c r="V64" s="257">
        <f>V46+V52+V54+V56+V58+V60</f>
        <v>28</v>
      </c>
      <c r="W64" s="257">
        <f>W46+W52+W54+W56+W58+W60</f>
        <v>33</v>
      </c>
      <c r="X64" s="257">
        <f>X46+X52+X54+X56+X58+X60</f>
        <v>38.200000000000003</v>
      </c>
      <c r="Y64" s="93"/>
      <c r="Z64" s="607"/>
      <c r="AA64" s="101"/>
      <c r="AB64" s="607"/>
      <c r="AC64" s="607"/>
      <c r="AD64" s="583"/>
      <c r="AE64" s="583"/>
    </row>
    <row r="65" spans="1:31" s="1" customFormat="1" x14ac:dyDescent="0.25">
      <c r="A65" s="261"/>
      <c r="B65" s="605" t="s">
        <v>251</v>
      </c>
      <c r="C65" s="606" t="s">
        <v>237</v>
      </c>
      <c r="D65" s="606"/>
      <c r="E65" s="260"/>
      <c r="F65" s="260"/>
      <c r="G65" s="260"/>
      <c r="H65" s="260"/>
      <c r="I65" s="260"/>
      <c r="J65" s="260"/>
      <c r="K65" s="260"/>
      <c r="L65" s="260"/>
      <c r="M65" s="260"/>
      <c r="N65" s="257">
        <f>SUM(N47:N64)</f>
        <v>287</v>
      </c>
      <c r="O65" s="257"/>
      <c r="P65" s="257"/>
      <c r="Q65" s="257"/>
      <c r="R65" s="257"/>
      <c r="S65" s="257"/>
      <c r="T65" s="257"/>
      <c r="U65" s="257"/>
      <c r="V65" s="257">
        <f>V47+V53+V55+V57+V59+V63</f>
        <v>137</v>
      </c>
      <c r="W65" s="257">
        <f>W47+W53+W55+W57+W59+W63</f>
        <v>143</v>
      </c>
      <c r="X65" s="257">
        <f>X47+X53+X55+X59+X63</f>
        <v>249.39999999999998</v>
      </c>
      <c r="Y65" s="93"/>
      <c r="Z65" s="607">
        <f>SUM(Z47:Z64)</f>
        <v>457.20000000000005</v>
      </c>
      <c r="AA65" s="101"/>
      <c r="AB65" s="607">
        <f>SUM(AB47:AB64)</f>
        <v>260.3</v>
      </c>
      <c r="AC65" s="607">
        <f>SUM(AC47:AC64)</f>
        <v>196.9</v>
      </c>
      <c r="AD65" s="552"/>
      <c r="AE65" s="552"/>
    </row>
    <row r="66" spans="1:31" s="1" customFormat="1" x14ac:dyDescent="0.25">
      <c r="A66" s="261"/>
      <c r="B66" s="605"/>
      <c r="C66" s="608" t="s">
        <v>238</v>
      </c>
      <c r="D66" s="608"/>
      <c r="E66" s="257"/>
      <c r="F66" s="257"/>
      <c r="G66" s="257"/>
      <c r="H66" s="257"/>
      <c r="I66" s="257"/>
      <c r="J66" s="257"/>
      <c r="K66" s="257"/>
      <c r="L66" s="257"/>
      <c r="M66" s="257"/>
      <c r="N66" s="257">
        <f>SUM(N64)</f>
        <v>0</v>
      </c>
      <c r="O66" s="257"/>
      <c r="P66" s="257"/>
      <c r="Q66" s="257"/>
      <c r="R66" s="257"/>
      <c r="S66" s="257"/>
      <c r="T66" s="257"/>
      <c r="U66" s="257"/>
      <c r="V66" s="257">
        <f>V48+V54+V56+V58+V60+V64</f>
        <v>129</v>
      </c>
      <c r="W66" s="257">
        <f>W48+W54+W56+W58+W60+W64</f>
        <v>134</v>
      </c>
      <c r="X66" s="257">
        <f>X48+X54+X56+X58+X60+X64</f>
        <v>251.2</v>
      </c>
      <c r="Y66" s="93"/>
      <c r="Z66" s="607"/>
      <c r="AA66" s="101"/>
      <c r="AB66" s="607"/>
      <c r="AC66" s="607"/>
      <c r="AD66" s="583"/>
      <c r="AE66" s="583"/>
    </row>
    <row r="67" spans="1:31" s="1" customFormat="1" x14ac:dyDescent="0.25">
      <c r="A67" s="100"/>
      <c r="B67" s="102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103"/>
      <c r="Z67" s="110"/>
      <c r="AA67" s="104"/>
      <c r="AB67" s="104"/>
      <c r="AC67" s="104"/>
      <c r="AD67" s="100"/>
      <c r="AE67" s="100"/>
    </row>
    <row r="68" spans="1:31" s="1" customFormat="1" x14ac:dyDescent="0.25">
      <c r="A68" s="76" t="s">
        <v>253</v>
      </c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X68" s="77"/>
      <c r="Y68" s="77"/>
      <c r="AD68" s="100"/>
      <c r="AE68" s="100"/>
    </row>
    <row r="69" spans="1:31" s="1" customFormat="1" x14ac:dyDescent="0.25"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X69" s="77"/>
      <c r="Y69" s="77"/>
      <c r="AD69" s="100"/>
      <c r="AE69" s="100"/>
    </row>
    <row r="70" spans="1:31" s="1" customFormat="1" x14ac:dyDescent="0.25">
      <c r="A70" s="570" t="s">
        <v>213</v>
      </c>
      <c r="B70" s="570" t="s">
        <v>214</v>
      </c>
      <c r="C70" s="571" t="s">
        <v>215</v>
      </c>
      <c r="D70" s="573" t="s">
        <v>216</v>
      </c>
      <c r="E70" s="258"/>
      <c r="F70" s="258"/>
      <c r="G70" s="258"/>
      <c r="H70" s="258"/>
      <c r="I70" s="258"/>
      <c r="J70" s="258"/>
      <c r="K70" s="258"/>
      <c r="L70" s="258"/>
      <c r="M70" s="258"/>
      <c r="N70" s="548"/>
      <c r="O70" s="255"/>
      <c r="P70" s="255"/>
      <c r="Q70" s="255"/>
      <c r="R70" s="255"/>
      <c r="S70" s="255"/>
      <c r="T70" s="255"/>
      <c r="U70" s="255"/>
      <c r="V70" s="255"/>
      <c r="W70" s="548"/>
      <c r="X70" s="564"/>
      <c r="Y70" s="566"/>
      <c r="Z70" s="564"/>
      <c r="AA70" s="566"/>
      <c r="AB70" s="548" t="s">
        <v>225</v>
      </c>
      <c r="AC70" s="548" t="s">
        <v>226</v>
      </c>
      <c r="AD70" s="550"/>
      <c r="AE70" s="551"/>
    </row>
    <row r="71" spans="1:31" s="1" customFormat="1" x14ac:dyDescent="0.25">
      <c r="A71" s="570"/>
      <c r="B71" s="570"/>
      <c r="C71" s="572"/>
      <c r="D71" s="573"/>
      <c r="E71" s="259"/>
      <c r="F71" s="259"/>
      <c r="G71" s="259"/>
      <c r="H71" s="259"/>
      <c r="I71" s="259"/>
      <c r="J71" s="259"/>
      <c r="K71" s="259"/>
      <c r="L71" s="259"/>
      <c r="M71" s="259"/>
      <c r="N71" s="549"/>
      <c r="O71" s="256"/>
      <c r="P71" s="256"/>
      <c r="Q71" s="256"/>
      <c r="R71" s="256"/>
      <c r="S71" s="256"/>
      <c r="T71" s="256"/>
      <c r="U71" s="256"/>
      <c r="V71" s="256"/>
      <c r="W71" s="549"/>
      <c r="X71" s="565"/>
      <c r="Y71" s="567"/>
      <c r="Z71" s="565"/>
      <c r="AA71" s="567"/>
      <c r="AB71" s="549"/>
      <c r="AC71" s="549"/>
      <c r="AD71" s="78"/>
      <c r="AE71" s="78"/>
    </row>
    <row r="72" spans="1:31" s="1" customFormat="1" x14ac:dyDescent="0.25"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X72" s="77"/>
      <c r="Y72" s="77"/>
      <c r="AD72" s="100"/>
      <c r="AE72" s="100"/>
    </row>
    <row r="73" spans="1:31" s="1" customFormat="1" x14ac:dyDescent="0.25">
      <c r="A73" s="552">
        <v>1</v>
      </c>
      <c r="B73" s="609" t="s">
        <v>405</v>
      </c>
      <c r="C73" s="83" t="s">
        <v>237</v>
      </c>
      <c r="D73" s="84">
        <v>6</v>
      </c>
      <c r="E73" s="84"/>
      <c r="F73" s="84"/>
      <c r="G73" s="84"/>
      <c r="H73" s="84"/>
      <c r="I73" s="84"/>
      <c r="J73" s="84"/>
      <c r="K73" s="84"/>
      <c r="L73" s="84"/>
      <c r="M73" s="86">
        <f>SUMIF('Наставни ансамбл'!J14:J368,"Биљана Марковић",'Наставни ансамбл'!G14:G368)</f>
        <v>2</v>
      </c>
      <c r="N73" s="84"/>
      <c r="O73" s="86"/>
      <c r="P73" s="86"/>
      <c r="Q73" s="86"/>
      <c r="R73" s="86"/>
      <c r="S73" s="86"/>
      <c r="T73" s="86"/>
      <c r="U73" s="86"/>
      <c r="V73" s="340">
        <f>SUMIF('Наставни ансамбл'!J14:J368,"Биљана Марковић",'Наставни ансамбл'!H14:H368)</f>
        <v>0</v>
      </c>
      <c r="W73" s="84"/>
      <c r="X73" s="84">
        <f>M73+(V73*0.6)</f>
        <v>2</v>
      </c>
      <c r="Y73" s="89">
        <f t="shared" ref="Y73:Y106" si="12">X73/D73*100</f>
        <v>33.333333333333329</v>
      </c>
      <c r="Z73" s="556">
        <f>(X73+X74)/2</f>
        <v>2</v>
      </c>
      <c r="AA73" s="558">
        <f>Z73/D73*100</f>
        <v>33.333333333333329</v>
      </c>
      <c r="AB73" s="556" t="s">
        <v>254</v>
      </c>
      <c r="AC73" s="556">
        <f>IF(Z73&gt;D73,Z73-D73,0)</f>
        <v>0</v>
      </c>
      <c r="AD73" s="560">
        <v>1</v>
      </c>
      <c r="AE73" s="560">
        <v>1</v>
      </c>
    </row>
    <row r="74" spans="1:31" s="1" customFormat="1" x14ac:dyDescent="0.25">
      <c r="A74" s="553"/>
      <c r="B74" s="610"/>
      <c r="C74" s="90" t="s">
        <v>238</v>
      </c>
      <c r="D74" s="140">
        <v>6</v>
      </c>
      <c r="E74" s="140"/>
      <c r="F74" s="140"/>
      <c r="G74" s="140"/>
      <c r="H74" s="140"/>
      <c r="I74" s="140"/>
      <c r="J74" s="140"/>
      <c r="K74" s="140"/>
      <c r="L74" s="140"/>
      <c r="M74" s="86">
        <f>SUMIF('Наставни ансамбл'!J378:J759,"Биљана Марковић",'Наставни ансамбл'!G378:G759)</f>
        <v>2</v>
      </c>
      <c r="N74" s="140"/>
      <c r="O74" s="86"/>
      <c r="P74" s="86"/>
      <c r="Q74" s="86"/>
      <c r="R74" s="86"/>
      <c r="S74" s="86"/>
      <c r="T74" s="86"/>
      <c r="U74" s="86"/>
      <c r="V74" s="340">
        <f>SUMIF('Наставни ансамбл'!J378:J759,"Биљана Марковић",'Наставни ансамбл'!H378:H759)</f>
        <v>0</v>
      </c>
      <c r="W74" s="140"/>
      <c r="X74" s="91">
        <f t="shared" ref="X74:X92" si="13">M74+(V74*0.6)</f>
        <v>2</v>
      </c>
      <c r="Y74" s="132">
        <f t="shared" si="12"/>
        <v>33.333333333333329</v>
      </c>
      <c r="Z74" s="557"/>
      <c r="AA74" s="559"/>
      <c r="AB74" s="557"/>
      <c r="AC74" s="557"/>
      <c r="AD74" s="604"/>
      <c r="AE74" s="604"/>
    </row>
    <row r="75" spans="1:31" s="1" customFormat="1" x14ac:dyDescent="0.25">
      <c r="A75" s="585">
        <v>2</v>
      </c>
      <c r="B75" s="611" t="s">
        <v>106</v>
      </c>
      <c r="C75" s="83" t="s">
        <v>237</v>
      </c>
      <c r="D75" s="105">
        <v>6</v>
      </c>
      <c r="E75" s="105"/>
      <c r="F75" s="105"/>
      <c r="G75" s="105"/>
      <c r="H75" s="105"/>
      <c r="I75" s="105"/>
      <c r="J75" s="105"/>
      <c r="K75" s="105"/>
      <c r="L75" s="105"/>
      <c r="M75" s="342">
        <f>SUMIF('Наставни ансамбл'!J14:J368,"Светлана Пелемиш",'Наставни ансамбл'!G14:G368)</f>
        <v>2</v>
      </c>
      <c r="N75" s="105"/>
      <c r="O75" s="112"/>
      <c r="P75" s="112"/>
      <c r="Q75" s="112"/>
      <c r="R75" s="112"/>
      <c r="S75" s="112"/>
      <c r="T75" s="112"/>
      <c r="U75" s="112"/>
      <c r="V75" s="341">
        <f>SUMIF('Наставни ансамбл'!J14:J368,"Светлана Пелемиш",'Наставни ансамбл'!H14:H368)</f>
        <v>2</v>
      </c>
      <c r="W75" s="105"/>
      <c r="X75" s="84">
        <f t="shared" si="13"/>
        <v>3.2</v>
      </c>
      <c r="Y75" s="89">
        <f t="shared" si="12"/>
        <v>53.333333333333336</v>
      </c>
      <c r="Z75" s="591">
        <f>(X75+X76)/2</f>
        <v>3.2</v>
      </c>
      <c r="AA75" s="592">
        <f>Z75/10*100</f>
        <v>32</v>
      </c>
      <c r="AB75" s="556" t="s">
        <v>254</v>
      </c>
      <c r="AC75" s="556">
        <f>IF(Z75&gt;D75,Z75-D75,0)</f>
        <v>0</v>
      </c>
      <c r="AD75" s="585">
        <v>1</v>
      </c>
      <c r="AE75" s="585">
        <v>1</v>
      </c>
    </row>
    <row r="76" spans="1:31" s="1" customFormat="1" ht="15" customHeight="1" x14ac:dyDescent="0.25">
      <c r="A76" s="553"/>
      <c r="B76" s="581"/>
      <c r="C76" s="90" t="s">
        <v>238</v>
      </c>
      <c r="D76" s="131">
        <v>6</v>
      </c>
      <c r="E76" s="131"/>
      <c r="F76" s="131"/>
      <c r="G76" s="131"/>
      <c r="H76" s="131"/>
      <c r="I76" s="131"/>
      <c r="J76" s="131"/>
      <c r="K76" s="131"/>
      <c r="L76" s="131"/>
      <c r="M76" s="86">
        <f>SUMIF('Наставни ансамбл'!J378:J759,"Светлана Пелемиш",'Наставни ансамбл'!G378:G759)</f>
        <v>2</v>
      </c>
      <c r="N76" s="131"/>
      <c r="O76" s="86"/>
      <c r="P76" s="86"/>
      <c r="Q76" s="86"/>
      <c r="R76" s="86"/>
      <c r="S76" s="86"/>
      <c r="T76" s="86"/>
      <c r="U76" s="86"/>
      <c r="V76" s="340">
        <f>SUMIF('Наставни ансамбл'!J378:J759,"Светлана Пелемиш",'Наставни ансамбл'!H378:H759)</f>
        <v>2</v>
      </c>
      <c r="W76" s="131"/>
      <c r="X76" s="91">
        <f t="shared" si="13"/>
        <v>3.2</v>
      </c>
      <c r="Y76" s="132">
        <f t="shared" si="12"/>
        <v>53.333333333333336</v>
      </c>
      <c r="Z76" s="557"/>
      <c r="AA76" s="559"/>
      <c r="AB76" s="557"/>
      <c r="AC76" s="557"/>
      <c r="AD76" s="553"/>
      <c r="AE76" s="553"/>
    </row>
    <row r="77" spans="1:31" s="1" customFormat="1" x14ac:dyDescent="0.25">
      <c r="A77" s="585">
        <v>3</v>
      </c>
      <c r="B77" s="611" t="s">
        <v>110</v>
      </c>
      <c r="C77" s="83" t="s">
        <v>237</v>
      </c>
      <c r="D77" s="105">
        <v>6</v>
      </c>
      <c r="E77" s="105"/>
      <c r="F77" s="105"/>
      <c r="G77" s="105"/>
      <c r="H77" s="105"/>
      <c r="I77" s="105"/>
      <c r="J77" s="105"/>
      <c r="K77" s="105"/>
      <c r="L77" s="105"/>
      <c r="M77" s="112">
        <f>SUMIF('Наставни ансамбл'!J14:J368,"Предраг Катанић",'Наставни ансамбл'!G14:G368)</f>
        <v>6</v>
      </c>
      <c r="N77" s="105"/>
      <c r="O77" s="112"/>
      <c r="P77" s="112"/>
      <c r="Q77" s="112"/>
      <c r="R77" s="112"/>
      <c r="S77" s="112"/>
      <c r="T77" s="112"/>
      <c r="U77" s="112"/>
      <c r="V77" s="341">
        <f>SUMIF('Наставни ансамбл'!J14:J368,"Предраг Катанић",'Наставни ансамбл'!H14:H368)</f>
        <v>0</v>
      </c>
      <c r="W77" s="105"/>
      <c r="X77" s="84">
        <f t="shared" si="13"/>
        <v>6</v>
      </c>
      <c r="Y77" s="89">
        <f t="shared" si="12"/>
        <v>100</v>
      </c>
      <c r="Z77" s="591">
        <f>(X77+X78)/2</f>
        <v>4</v>
      </c>
      <c r="AA77" s="592">
        <f>Z77/10*100</f>
        <v>40</v>
      </c>
      <c r="AB77" s="556" t="s">
        <v>254</v>
      </c>
      <c r="AC77" s="556">
        <f>IF(Z77&gt;D77,Z77-D77,0)</f>
        <v>0</v>
      </c>
      <c r="AD77" s="585">
        <v>2</v>
      </c>
      <c r="AE77" s="585">
        <v>1</v>
      </c>
    </row>
    <row r="78" spans="1:31" s="1" customFormat="1" ht="15" customHeight="1" x14ac:dyDescent="0.25">
      <c r="A78" s="553"/>
      <c r="B78" s="581"/>
      <c r="C78" s="90" t="s">
        <v>238</v>
      </c>
      <c r="D78" s="131">
        <v>6</v>
      </c>
      <c r="E78" s="131"/>
      <c r="F78" s="131"/>
      <c r="G78" s="131"/>
      <c r="H78" s="131"/>
      <c r="I78" s="131"/>
      <c r="J78" s="131"/>
      <c r="K78" s="131"/>
      <c r="L78" s="131"/>
      <c r="M78" s="86">
        <f>SUMIF('Наставни ансамбл'!J378:J759,"Предраг Катанић",'Наставни ансамбл'!G378:G759)</f>
        <v>2</v>
      </c>
      <c r="N78" s="131"/>
      <c r="O78" s="86"/>
      <c r="P78" s="86"/>
      <c r="Q78" s="86"/>
      <c r="R78" s="86"/>
      <c r="S78" s="86"/>
      <c r="T78" s="86"/>
      <c r="U78" s="86"/>
      <c r="V78" s="340">
        <f>SUMIF('Наставни ансамбл'!J378:J759,"Предраг Катанић",'Наставни ансамбл'!H378:H759)</f>
        <v>0</v>
      </c>
      <c r="W78" s="131"/>
      <c r="X78" s="91">
        <f t="shared" si="13"/>
        <v>2</v>
      </c>
      <c r="Y78" s="132">
        <f t="shared" si="12"/>
        <v>33.333333333333329</v>
      </c>
      <c r="Z78" s="557"/>
      <c r="AA78" s="559"/>
      <c r="AB78" s="557"/>
      <c r="AC78" s="557"/>
      <c r="AD78" s="553"/>
      <c r="AE78" s="553"/>
    </row>
    <row r="79" spans="1:31" s="1" customFormat="1" x14ac:dyDescent="0.25">
      <c r="A79" s="585">
        <v>4</v>
      </c>
      <c r="B79" s="612" t="s">
        <v>530</v>
      </c>
      <c r="C79" s="83" t="s">
        <v>237</v>
      </c>
      <c r="D79" s="105">
        <v>6</v>
      </c>
      <c r="E79" s="105"/>
      <c r="F79" s="105"/>
      <c r="G79" s="105"/>
      <c r="H79" s="105"/>
      <c r="I79" s="105"/>
      <c r="J79" s="105"/>
      <c r="K79" s="105"/>
      <c r="L79" s="105"/>
      <c r="M79" s="112">
        <f>SUMIF('Наставни ансамбл'!J14:J368,"Владо Медаковић",'Наставни ансамбл'!G14:G368)</f>
        <v>0</v>
      </c>
      <c r="N79" s="105"/>
      <c r="O79" s="112"/>
      <c r="P79" s="112"/>
      <c r="Q79" s="112"/>
      <c r="R79" s="112"/>
      <c r="S79" s="112"/>
      <c r="T79" s="112"/>
      <c r="U79" s="112"/>
      <c r="V79" s="341">
        <f>SUMIF('Наставни ансамбл'!J14:J368,"Владо Медаковић",'Наставни ансамбл'!H14:H368)</f>
        <v>0</v>
      </c>
      <c r="W79" s="105"/>
      <c r="X79" s="84">
        <f t="shared" si="13"/>
        <v>0</v>
      </c>
      <c r="Y79" s="89">
        <f t="shared" si="12"/>
        <v>0</v>
      </c>
      <c r="Z79" s="591">
        <f>(X79+X80)/2</f>
        <v>1</v>
      </c>
      <c r="AA79" s="592">
        <f>Z79/10*100</f>
        <v>10</v>
      </c>
      <c r="AB79" s="556" t="s">
        <v>254</v>
      </c>
      <c r="AC79" s="556">
        <f>IF(Z79&gt;D79,Z79-D79,0)</f>
        <v>0</v>
      </c>
      <c r="AD79" s="585">
        <v>2</v>
      </c>
      <c r="AE79" s="585">
        <v>1</v>
      </c>
    </row>
    <row r="80" spans="1:31" s="1" customFormat="1" ht="15" customHeight="1" x14ac:dyDescent="0.25">
      <c r="A80" s="553"/>
      <c r="B80" s="610"/>
      <c r="C80" s="90" t="s">
        <v>238</v>
      </c>
      <c r="D80" s="131">
        <v>6</v>
      </c>
      <c r="E80" s="131"/>
      <c r="F80" s="131"/>
      <c r="G80" s="131"/>
      <c r="H80" s="131"/>
      <c r="I80" s="131"/>
      <c r="J80" s="131"/>
      <c r="K80" s="131"/>
      <c r="L80" s="131"/>
      <c r="M80" s="86">
        <f>SUMIF('Наставни ансамбл'!J378:J759,"Владо Медаковић",'Наставни ансамбл'!G378:G759)</f>
        <v>2</v>
      </c>
      <c r="N80" s="131"/>
      <c r="O80" s="86"/>
      <c r="P80" s="86"/>
      <c r="Q80" s="86"/>
      <c r="R80" s="86"/>
      <c r="S80" s="86"/>
      <c r="T80" s="86"/>
      <c r="U80" s="86"/>
      <c r="V80" s="340">
        <f>SUMIF('Наставни ансамбл'!J378:J759,"Владо Медаковић",'Наставни ансамбл'!H378:H759)</f>
        <v>0</v>
      </c>
      <c r="W80" s="131"/>
      <c r="X80" s="91">
        <f t="shared" si="13"/>
        <v>2</v>
      </c>
      <c r="Y80" s="132">
        <f t="shared" si="12"/>
        <v>33.333333333333329</v>
      </c>
      <c r="Z80" s="557"/>
      <c r="AA80" s="559"/>
      <c r="AB80" s="557"/>
      <c r="AC80" s="557"/>
      <c r="AD80" s="553"/>
      <c r="AE80" s="553"/>
    </row>
    <row r="81" spans="1:31" s="1" customFormat="1" x14ac:dyDescent="0.25">
      <c r="A81" s="585">
        <v>5</v>
      </c>
      <c r="B81" s="611" t="s">
        <v>115</v>
      </c>
      <c r="C81" s="83" t="s">
        <v>237</v>
      </c>
      <c r="D81" s="105">
        <v>6</v>
      </c>
      <c r="E81" s="105"/>
      <c r="F81" s="105"/>
      <c r="G81" s="105"/>
      <c r="H81" s="105"/>
      <c r="I81" s="105"/>
      <c r="J81" s="105"/>
      <c r="K81" s="105"/>
      <c r="L81" s="105"/>
      <c r="M81" s="112">
        <f>SUMIF('Наставни ансамбл'!J14:J368,"Слободан Лубура",'Наставни ансамбл'!G14:G368)</f>
        <v>2</v>
      </c>
      <c r="N81" s="105"/>
      <c r="O81" s="112"/>
      <c r="P81" s="112"/>
      <c r="Q81" s="112"/>
      <c r="R81" s="112"/>
      <c r="S81" s="112"/>
      <c r="T81" s="112"/>
      <c r="U81" s="112"/>
      <c r="V81" s="341">
        <f>SUMIF('Наставни ансамбл'!J14:J368,"Слободан Лубура",'Наставни ансамбл'!H14:H368)</f>
        <v>0</v>
      </c>
      <c r="W81" s="105"/>
      <c r="X81" s="84">
        <f t="shared" si="13"/>
        <v>2</v>
      </c>
      <c r="Y81" s="89">
        <f t="shared" si="12"/>
        <v>33.333333333333329</v>
      </c>
      <c r="Z81" s="591">
        <f>(X81+X82)/2</f>
        <v>2</v>
      </c>
      <c r="AA81" s="592">
        <f>Z81/10*100</f>
        <v>20</v>
      </c>
      <c r="AB81" s="556" t="s">
        <v>254</v>
      </c>
      <c r="AC81" s="556">
        <f>IF(Z81&gt;D81,Z81-D81,0)</f>
        <v>0</v>
      </c>
      <c r="AD81" s="585">
        <v>1</v>
      </c>
      <c r="AE81" s="585">
        <v>1</v>
      </c>
    </row>
    <row r="82" spans="1:31" s="1" customFormat="1" ht="15" customHeight="1" x14ac:dyDescent="0.25">
      <c r="A82" s="553"/>
      <c r="B82" s="581"/>
      <c r="C82" s="90" t="s">
        <v>238</v>
      </c>
      <c r="D82" s="131">
        <v>6</v>
      </c>
      <c r="E82" s="131"/>
      <c r="F82" s="131"/>
      <c r="G82" s="131"/>
      <c r="H82" s="131"/>
      <c r="I82" s="131"/>
      <c r="J82" s="131"/>
      <c r="K82" s="131"/>
      <c r="L82" s="131"/>
      <c r="M82" s="86">
        <f>SUMIF('Наставни ансамбл'!J378:J759,"Слободан Лубура",'Наставни ансамбл'!G378:G759)</f>
        <v>2</v>
      </c>
      <c r="N82" s="131"/>
      <c r="O82" s="86"/>
      <c r="P82" s="86"/>
      <c r="Q82" s="86"/>
      <c r="R82" s="86"/>
      <c r="S82" s="86"/>
      <c r="T82" s="86"/>
      <c r="U82" s="86"/>
      <c r="V82" s="340">
        <f>SUMIF('Наставни ансамбл'!J378:J759,"Слободан Лубура",'Наставни ансамбл'!H378:H759)</f>
        <v>0</v>
      </c>
      <c r="W82" s="131"/>
      <c r="X82" s="91">
        <f t="shared" si="13"/>
        <v>2</v>
      </c>
      <c r="Y82" s="132">
        <f t="shared" si="12"/>
        <v>33.333333333333329</v>
      </c>
      <c r="Z82" s="557"/>
      <c r="AA82" s="559"/>
      <c r="AB82" s="557"/>
      <c r="AC82" s="557"/>
      <c r="AD82" s="553"/>
      <c r="AE82" s="553"/>
    </row>
    <row r="83" spans="1:31" s="1" customFormat="1" x14ac:dyDescent="0.25">
      <c r="A83" s="585">
        <v>6</v>
      </c>
      <c r="B83" s="612" t="s">
        <v>200</v>
      </c>
      <c r="C83" s="83" t="s">
        <v>237</v>
      </c>
      <c r="D83" s="105">
        <v>6</v>
      </c>
      <c r="E83" s="105"/>
      <c r="F83" s="105"/>
      <c r="G83" s="105"/>
      <c r="H83" s="105"/>
      <c r="I83" s="105"/>
      <c r="J83" s="105"/>
      <c r="K83" s="105"/>
      <c r="L83" s="105"/>
      <c r="M83" s="112">
        <f>SUMIF('Наставни ансамбл'!J14:J368,"Драгомир Вуковић",'Наставни ансамбл'!G14:G368)</f>
        <v>0</v>
      </c>
      <c r="N83" s="105"/>
      <c r="O83" s="112"/>
      <c r="P83" s="112"/>
      <c r="Q83" s="112"/>
      <c r="R83" s="112"/>
      <c r="S83" s="112"/>
      <c r="T83" s="112"/>
      <c r="U83" s="112"/>
      <c r="V83" s="341">
        <f>SUMIF('Наставни ансамбл'!J14:J368,"Драгомир Вуковић",'Наставни ансамбл'!H14:H368)</f>
        <v>0</v>
      </c>
      <c r="W83" s="105"/>
      <c r="X83" s="84">
        <f t="shared" si="13"/>
        <v>0</v>
      </c>
      <c r="Y83" s="89">
        <f t="shared" si="12"/>
        <v>0</v>
      </c>
      <c r="Z83" s="591">
        <f>(X83+X84)/2</f>
        <v>0</v>
      </c>
      <c r="AA83" s="592">
        <f>Z83/10*100</f>
        <v>0</v>
      </c>
      <c r="AB83" s="556" t="s">
        <v>254</v>
      </c>
      <c r="AC83" s="556">
        <f>IF(Z83&gt;D83,Z83-D83,0)</f>
        <v>0</v>
      </c>
      <c r="AD83" s="585">
        <v>1</v>
      </c>
      <c r="AE83" s="585">
        <v>0</v>
      </c>
    </row>
    <row r="84" spans="1:31" s="1" customFormat="1" ht="15" customHeight="1" x14ac:dyDescent="0.25">
      <c r="A84" s="553"/>
      <c r="B84" s="610"/>
      <c r="C84" s="90" t="s">
        <v>238</v>
      </c>
      <c r="D84" s="131">
        <v>6</v>
      </c>
      <c r="E84" s="131"/>
      <c r="F84" s="131"/>
      <c r="G84" s="131"/>
      <c r="H84" s="131"/>
      <c r="I84" s="131"/>
      <c r="J84" s="131"/>
      <c r="K84" s="131"/>
      <c r="L84" s="131"/>
      <c r="M84" s="86">
        <f>SUMIF('Наставни ансамбл'!J378:J759,"Драгомир Вуковић",'Наставни ансамбл'!G378:G759)</f>
        <v>0</v>
      </c>
      <c r="N84" s="131"/>
      <c r="O84" s="86"/>
      <c r="P84" s="86"/>
      <c r="Q84" s="86"/>
      <c r="R84" s="86"/>
      <c r="S84" s="86"/>
      <c r="T84" s="86"/>
      <c r="U84" s="86"/>
      <c r="V84" s="340">
        <f>SUMIF('Наставни ансамбл'!J378:J759,"Драгомир Вуковић",'Наставни ансамбл'!H378:H759)</f>
        <v>0</v>
      </c>
      <c r="W84" s="131"/>
      <c r="X84" s="91">
        <f t="shared" si="13"/>
        <v>0</v>
      </c>
      <c r="Y84" s="132">
        <f t="shared" si="12"/>
        <v>0</v>
      </c>
      <c r="Z84" s="557"/>
      <c r="AA84" s="559"/>
      <c r="AB84" s="557"/>
      <c r="AC84" s="557"/>
      <c r="AD84" s="553"/>
      <c r="AE84" s="553"/>
    </row>
    <row r="85" spans="1:31" s="1" customFormat="1" ht="15" customHeight="1" x14ac:dyDescent="0.25">
      <c r="A85" s="588">
        <v>7</v>
      </c>
      <c r="B85" s="580" t="s">
        <v>382</v>
      </c>
      <c r="C85" s="83" t="s">
        <v>237</v>
      </c>
      <c r="D85" s="105">
        <v>6</v>
      </c>
      <c r="E85" s="105"/>
      <c r="F85" s="105"/>
      <c r="G85" s="105"/>
      <c r="H85" s="105"/>
      <c r="I85" s="105"/>
      <c r="J85" s="105"/>
      <c r="K85" s="105"/>
      <c r="L85" s="105"/>
      <c r="M85" s="112">
        <f>SUMIF('Наставни ансамбл'!J14:J368,"Слађана Петронић",'Наставни ансамбл'!G14:G368)</f>
        <v>0</v>
      </c>
      <c r="N85" s="105"/>
      <c r="O85" s="112"/>
      <c r="P85" s="112"/>
      <c r="Q85" s="112"/>
      <c r="R85" s="112"/>
      <c r="S85" s="112"/>
      <c r="T85" s="112"/>
      <c r="U85" s="112"/>
      <c r="V85" s="341">
        <f>SUMIF('Наставни ансамбл'!J14:J368,"Слађана Петронић",'Наставни ансамбл'!H14:H368)</f>
        <v>0</v>
      </c>
      <c r="W85" s="105"/>
      <c r="X85" s="84">
        <f t="shared" si="13"/>
        <v>0</v>
      </c>
      <c r="Y85" s="89">
        <f t="shared" si="12"/>
        <v>0</v>
      </c>
      <c r="Z85" s="591">
        <f>(X85+X86)/2</f>
        <v>0</v>
      </c>
      <c r="AA85" s="592">
        <f>Z85/10*100</f>
        <v>0</v>
      </c>
      <c r="AB85" s="556" t="s">
        <v>254</v>
      </c>
      <c r="AC85" s="556">
        <f>IF(Z85&gt;D85,Z85-D85,0)</f>
        <v>0</v>
      </c>
      <c r="AD85" s="585">
        <v>1</v>
      </c>
      <c r="AE85" s="585">
        <v>4</v>
      </c>
    </row>
    <row r="86" spans="1:31" s="1" customFormat="1" ht="15" customHeight="1" x14ac:dyDescent="0.25">
      <c r="A86" s="613"/>
      <c r="B86" s="581"/>
      <c r="C86" s="90" t="s">
        <v>238</v>
      </c>
      <c r="D86" s="131">
        <v>6</v>
      </c>
      <c r="E86" s="131"/>
      <c r="F86" s="131"/>
      <c r="G86" s="131"/>
      <c r="H86" s="131"/>
      <c r="I86" s="131"/>
      <c r="J86" s="131"/>
      <c r="K86" s="131"/>
      <c r="L86" s="131"/>
      <c r="M86" s="112">
        <f>SUMIF('Наставни ансамбл'!J378:J759,"Слађана Петронић",'Наставни ансамбл'!G378:G759)</f>
        <v>0</v>
      </c>
      <c r="N86" s="131"/>
      <c r="O86" s="112"/>
      <c r="P86" s="112"/>
      <c r="Q86" s="112"/>
      <c r="R86" s="112"/>
      <c r="S86" s="112"/>
      <c r="T86" s="112"/>
      <c r="U86" s="112"/>
      <c r="V86" s="341">
        <f>SUMIF('Наставни ансамбл'!J378:J759,"Слађана Петронић",'Наставни ансамбл'!H378:H759)</f>
        <v>0</v>
      </c>
      <c r="W86" s="131"/>
      <c r="X86" s="91">
        <f t="shared" si="13"/>
        <v>0</v>
      </c>
      <c r="Y86" s="132">
        <f t="shared" si="12"/>
        <v>0</v>
      </c>
      <c r="Z86" s="557"/>
      <c r="AA86" s="559"/>
      <c r="AB86" s="557"/>
      <c r="AC86" s="557"/>
      <c r="AD86" s="553"/>
      <c r="AE86" s="553"/>
    </row>
    <row r="87" spans="1:31" s="1" customFormat="1" ht="15" customHeight="1" x14ac:dyDescent="0.25">
      <c r="A87" s="613">
        <v>8</v>
      </c>
      <c r="B87" s="580" t="s">
        <v>279</v>
      </c>
      <c r="C87" s="83" t="s">
        <v>237</v>
      </c>
      <c r="D87" s="105">
        <v>6</v>
      </c>
      <c r="E87" s="105"/>
      <c r="F87" s="105"/>
      <c r="G87" s="105"/>
      <c r="H87" s="105"/>
      <c r="I87" s="105"/>
      <c r="J87" s="105"/>
      <c r="K87" s="105"/>
      <c r="L87" s="105"/>
      <c r="M87" s="112">
        <f>SUMIF('Наставни ансамбл'!J14:J368,"Драга Мастиловић",'Наставни ансамбл'!G14:G368)</f>
        <v>2</v>
      </c>
      <c r="N87" s="105"/>
      <c r="O87" s="112"/>
      <c r="P87" s="112"/>
      <c r="Q87" s="112"/>
      <c r="R87" s="112"/>
      <c r="S87" s="112"/>
      <c r="T87" s="112"/>
      <c r="U87" s="112"/>
      <c r="V87" s="341">
        <f>SUMIF('Наставни ансамбл'!J14:J368,"Драга Мастиловић",'Наставни ансамбл'!H14:H368)</f>
        <v>1</v>
      </c>
      <c r="W87" s="105"/>
      <c r="X87" s="84">
        <f t="shared" si="13"/>
        <v>2.6</v>
      </c>
      <c r="Y87" s="89">
        <f t="shared" si="12"/>
        <v>43.333333333333336</v>
      </c>
      <c r="Z87" s="591">
        <f>(X87+X88)/2</f>
        <v>1.3</v>
      </c>
      <c r="AA87" s="592">
        <f>Z87/10*100</f>
        <v>13</v>
      </c>
      <c r="AB87" s="556" t="s">
        <v>254</v>
      </c>
      <c r="AC87" s="556">
        <f>IF(Z87&gt;D87,Z87-D87,0)</f>
        <v>0</v>
      </c>
      <c r="AD87" s="585">
        <v>1</v>
      </c>
      <c r="AE87" s="585">
        <v>0</v>
      </c>
    </row>
    <row r="88" spans="1:31" s="1" customFormat="1" ht="15" customHeight="1" x14ac:dyDescent="0.25">
      <c r="A88" s="613"/>
      <c r="B88" s="615"/>
      <c r="C88" s="90" t="s">
        <v>238</v>
      </c>
      <c r="D88" s="131">
        <v>6</v>
      </c>
      <c r="E88" s="131"/>
      <c r="F88" s="131"/>
      <c r="G88" s="131"/>
      <c r="H88" s="131"/>
      <c r="I88" s="131"/>
      <c r="J88" s="131"/>
      <c r="K88" s="131"/>
      <c r="L88" s="131"/>
      <c r="M88" s="112">
        <f>SUMIF('Наставни ансамбл'!J378:J759,"Драга Мастиловић",'Наставни ансамбл'!G378:G759)</f>
        <v>0</v>
      </c>
      <c r="N88" s="131"/>
      <c r="O88" s="112"/>
      <c r="P88" s="112"/>
      <c r="Q88" s="112"/>
      <c r="R88" s="112"/>
      <c r="S88" s="112"/>
      <c r="T88" s="112"/>
      <c r="U88" s="112"/>
      <c r="V88" s="341">
        <f>SUMIF('Наставни ансамбл'!J378:J759,"Драга Мастиловић",'Наставни ансамбл'!H378:H759)</f>
        <v>0</v>
      </c>
      <c r="W88" s="131"/>
      <c r="X88" s="91">
        <f t="shared" si="13"/>
        <v>0</v>
      </c>
      <c r="Y88" s="132">
        <f t="shared" si="12"/>
        <v>0</v>
      </c>
      <c r="Z88" s="557"/>
      <c r="AA88" s="559"/>
      <c r="AB88" s="557"/>
      <c r="AC88" s="557"/>
      <c r="AD88" s="553"/>
      <c r="AE88" s="553"/>
    </row>
    <row r="89" spans="1:31" s="1" customFormat="1" ht="15" customHeight="1" x14ac:dyDescent="0.25">
      <c r="A89" s="613">
        <v>9</v>
      </c>
      <c r="B89" s="614" t="s">
        <v>300</v>
      </c>
      <c r="C89" s="83" t="s">
        <v>237</v>
      </c>
      <c r="D89" s="105">
        <v>6</v>
      </c>
      <c r="E89" s="105"/>
      <c r="F89" s="105"/>
      <c r="G89" s="105"/>
      <c r="H89" s="105"/>
      <c r="I89" s="105"/>
      <c r="J89" s="105"/>
      <c r="K89" s="105"/>
      <c r="L89" s="105"/>
      <c r="M89" s="112">
        <f>SUMIF('Наставни ансамбл'!J14:J368,"Стојан Шљука",'Наставни ансамбл'!G14:G368)</f>
        <v>0</v>
      </c>
      <c r="N89" s="105"/>
      <c r="O89" s="112"/>
      <c r="P89" s="112"/>
      <c r="Q89" s="112"/>
      <c r="R89" s="112"/>
      <c r="S89" s="112"/>
      <c r="T89" s="112"/>
      <c r="U89" s="112"/>
      <c r="V89" s="341">
        <f>SUMIF('Наставни ансамбл'!J14:J368,"Стојан Шљука",'Наставни ансамбл'!H14:H368)</f>
        <v>0</v>
      </c>
      <c r="W89" s="105"/>
      <c r="X89" s="84">
        <f t="shared" si="13"/>
        <v>0</v>
      </c>
      <c r="Y89" s="89">
        <f t="shared" si="12"/>
        <v>0</v>
      </c>
      <c r="Z89" s="591">
        <f>(X89+X90)/2</f>
        <v>0</v>
      </c>
      <c r="AA89" s="592">
        <f>Z89/10*100</f>
        <v>0</v>
      </c>
      <c r="AB89" s="556" t="s">
        <v>254</v>
      </c>
      <c r="AC89" s="556">
        <f>IF(Z89&gt;D89,Z89-D89,0)</f>
        <v>0</v>
      </c>
      <c r="AD89" s="585">
        <v>1</v>
      </c>
      <c r="AE89" s="585">
        <v>0</v>
      </c>
    </row>
    <row r="90" spans="1:31" s="1" customFormat="1" ht="15" customHeight="1" x14ac:dyDescent="0.25">
      <c r="A90" s="613"/>
      <c r="B90" s="615"/>
      <c r="C90" s="90" t="s">
        <v>238</v>
      </c>
      <c r="D90" s="131">
        <v>6</v>
      </c>
      <c r="E90" s="131"/>
      <c r="F90" s="131"/>
      <c r="G90" s="131"/>
      <c r="H90" s="131"/>
      <c r="I90" s="131"/>
      <c r="J90" s="131"/>
      <c r="K90" s="131"/>
      <c r="L90" s="131"/>
      <c r="M90" s="112">
        <f>SUMIF('Наставни ансамбл'!J378:J759,"Стојан Шљука",'Наставни ансамбл'!G378:G759)</f>
        <v>0</v>
      </c>
      <c r="N90" s="131"/>
      <c r="O90" s="112"/>
      <c r="P90" s="112"/>
      <c r="Q90" s="112"/>
      <c r="R90" s="112"/>
      <c r="S90" s="112"/>
      <c r="T90" s="112"/>
      <c r="U90" s="112"/>
      <c r="V90" s="341">
        <f>SUMIF('Наставни ансамбл'!J378:J759,"Стојан Шљука",'Наставни ансамбл'!H378:H759)</f>
        <v>0</v>
      </c>
      <c r="W90" s="131"/>
      <c r="X90" s="91">
        <f t="shared" si="13"/>
        <v>0</v>
      </c>
      <c r="Y90" s="132">
        <f t="shared" si="12"/>
        <v>0</v>
      </c>
      <c r="Z90" s="557"/>
      <c r="AA90" s="559"/>
      <c r="AB90" s="557"/>
      <c r="AC90" s="557"/>
      <c r="AD90" s="553"/>
      <c r="AE90" s="553"/>
    </row>
    <row r="91" spans="1:31" s="1" customFormat="1" ht="15" customHeight="1" x14ac:dyDescent="0.25">
      <c r="A91" s="613">
        <v>10</v>
      </c>
      <c r="B91" s="616" t="s">
        <v>322</v>
      </c>
      <c r="C91" s="83" t="s">
        <v>237</v>
      </c>
      <c r="D91" s="105">
        <v>6</v>
      </c>
      <c r="E91" s="105"/>
      <c r="F91" s="105"/>
      <c r="G91" s="105"/>
      <c r="H91" s="105"/>
      <c r="I91" s="105"/>
      <c r="J91" s="105"/>
      <c r="K91" s="105"/>
      <c r="L91" s="105"/>
      <c r="M91" s="112">
        <f>SUMIF('Наставни ансамбл'!J14:J368,"Бранислав Драшковић",'Наставни ансамбл'!G14:G368)</f>
        <v>0</v>
      </c>
      <c r="N91" s="105"/>
      <c r="O91" s="112"/>
      <c r="P91" s="112"/>
      <c r="Q91" s="112"/>
      <c r="R91" s="112"/>
      <c r="S91" s="112"/>
      <c r="T91" s="112"/>
      <c r="U91" s="112"/>
      <c r="V91" s="341">
        <f>SUMIF('Наставни ансамбл'!J14:J368,"Бранислав Драшковић",'Наставни ансамбл'!H14:H368)</f>
        <v>0</v>
      </c>
      <c r="W91" s="105"/>
      <c r="X91" s="84">
        <f t="shared" si="13"/>
        <v>0</v>
      </c>
      <c r="Y91" s="89">
        <f t="shared" si="12"/>
        <v>0</v>
      </c>
      <c r="Z91" s="591">
        <f>(X91+X92)/2</f>
        <v>0</v>
      </c>
      <c r="AA91" s="592">
        <f>Z91/10*100</f>
        <v>0</v>
      </c>
      <c r="AB91" s="556" t="s">
        <v>254</v>
      </c>
      <c r="AC91" s="556">
        <f>IF(Z91&gt;D91,Z91-D91,0)</f>
        <v>0</v>
      </c>
      <c r="AD91" s="585">
        <v>2</v>
      </c>
      <c r="AE91" s="585">
        <v>3</v>
      </c>
    </row>
    <row r="92" spans="1:31" s="1" customFormat="1" ht="15" customHeight="1" x14ac:dyDescent="0.25">
      <c r="A92" s="613"/>
      <c r="B92" s="618"/>
      <c r="C92" s="90" t="s">
        <v>238</v>
      </c>
      <c r="D92" s="131">
        <v>6</v>
      </c>
      <c r="E92" s="131"/>
      <c r="F92" s="131"/>
      <c r="G92" s="131"/>
      <c r="H92" s="131"/>
      <c r="I92" s="131"/>
      <c r="J92" s="131"/>
      <c r="K92" s="131"/>
      <c r="L92" s="131"/>
      <c r="M92" s="112">
        <f>SUMIF('Наставни ансамбл'!J378:J759,"Бранислав Драшковић",'Наставни ансамбл'!G378:G759)</f>
        <v>0</v>
      </c>
      <c r="N92" s="131"/>
      <c r="O92" s="112"/>
      <c r="P92" s="112"/>
      <c r="Q92" s="112"/>
      <c r="R92" s="112"/>
      <c r="S92" s="112"/>
      <c r="T92" s="112"/>
      <c r="U92" s="112"/>
      <c r="V92" s="341">
        <f>SUMIF('Наставни ансамбл'!J378:J759,"Бранислав Драшковић",'Наставни ансамбл'!H378:H759)</f>
        <v>0</v>
      </c>
      <c r="W92" s="131"/>
      <c r="X92" s="91">
        <f t="shared" si="13"/>
        <v>0</v>
      </c>
      <c r="Y92" s="132">
        <f t="shared" si="12"/>
        <v>0</v>
      </c>
      <c r="Z92" s="557"/>
      <c r="AA92" s="559"/>
      <c r="AB92" s="557"/>
      <c r="AC92" s="557"/>
      <c r="AD92" s="553"/>
      <c r="AE92" s="553"/>
    </row>
    <row r="93" spans="1:31" s="1" customFormat="1" ht="15" customHeight="1" x14ac:dyDescent="0.25">
      <c r="A93" s="613">
        <v>11</v>
      </c>
      <c r="B93" s="616" t="s">
        <v>532</v>
      </c>
      <c r="C93" s="83" t="s">
        <v>237</v>
      </c>
      <c r="D93" s="105">
        <v>10</v>
      </c>
      <c r="E93" s="105"/>
      <c r="F93" s="105"/>
      <c r="G93" s="105"/>
      <c r="H93" s="105"/>
      <c r="I93" s="105"/>
      <c r="J93" s="105"/>
      <c r="K93" s="105"/>
      <c r="L93" s="105"/>
      <c r="M93" s="112">
        <f>SUMIF('Наставни ансамбл'!J14:J368,"Живко Ерцег",'Наставни ансамбл'!G14:G368)</f>
        <v>0</v>
      </c>
      <c r="N93" s="105"/>
      <c r="O93" s="112"/>
      <c r="P93" s="112"/>
      <c r="Q93" s="112"/>
      <c r="R93" s="112"/>
      <c r="S93" s="112"/>
      <c r="T93" s="112"/>
      <c r="U93" s="112"/>
      <c r="V93" s="107">
        <f>SUMIF('Наставни ансамбл'!J14:J368,"Живко Ерцег",'Наставни ансамбл'!H14:H368)</f>
        <v>0</v>
      </c>
      <c r="W93" s="105"/>
      <c r="X93" s="137">
        <f>SUM(M93,V93)</f>
        <v>0</v>
      </c>
      <c r="Y93" s="89">
        <f t="shared" si="12"/>
        <v>0</v>
      </c>
      <c r="Z93" s="591">
        <f>(X93+X94)/2</f>
        <v>0</v>
      </c>
      <c r="AA93" s="592">
        <f>Z93/10*100</f>
        <v>0</v>
      </c>
      <c r="AB93" s="556" t="s">
        <v>254</v>
      </c>
      <c r="AC93" s="556">
        <f>IF(Z93&gt;D93,Z93-D93,0)</f>
        <v>0</v>
      </c>
      <c r="AD93" s="585">
        <v>1</v>
      </c>
      <c r="AE93" s="585">
        <v>0</v>
      </c>
    </row>
    <row r="94" spans="1:31" s="1" customFormat="1" ht="15" customHeight="1" x14ac:dyDescent="0.25">
      <c r="A94" s="613"/>
      <c r="B94" s="617"/>
      <c r="C94" s="90" t="s">
        <v>238</v>
      </c>
      <c r="D94" s="131">
        <v>10</v>
      </c>
      <c r="E94" s="131"/>
      <c r="F94" s="131"/>
      <c r="G94" s="131"/>
      <c r="H94" s="131"/>
      <c r="I94" s="131"/>
      <c r="J94" s="131"/>
      <c r="K94" s="131"/>
      <c r="L94" s="131"/>
      <c r="M94" s="112">
        <f>SUMIF('Наставни ансамбл'!J378:J759,"Живко Ерцег",'Наставни ансамбл'!G378:G759)</f>
        <v>0</v>
      </c>
      <c r="N94" s="131"/>
      <c r="O94" s="112"/>
      <c r="P94" s="112"/>
      <c r="Q94" s="112"/>
      <c r="R94" s="112"/>
      <c r="S94" s="112"/>
      <c r="T94" s="112"/>
      <c r="U94" s="112"/>
      <c r="V94" s="107">
        <f>SUMIF('Наставни ансамбл'!J378:J759,"Живко Ерцег",'Наставни ансамбл'!H378:H759)</f>
        <v>0</v>
      </c>
      <c r="W94" s="131"/>
      <c r="X94" s="138">
        <f t="shared" ref="X94:X106" si="14">SUM(M94,V94)</f>
        <v>0</v>
      </c>
      <c r="Y94" s="132">
        <f t="shared" si="12"/>
        <v>0</v>
      </c>
      <c r="Z94" s="557"/>
      <c r="AA94" s="559"/>
      <c r="AB94" s="557"/>
      <c r="AC94" s="557"/>
      <c r="AD94" s="553"/>
      <c r="AE94" s="553"/>
    </row>
    <row r="95" spans="1:31" s="1" customFormat="1" ht="15" customHeight="1" x14ac:dyDescent="0.25">
      <c r="A95" s="613">
        <v>12</v>
      </c>
      <c r="B95" s="616" t="s">
        <v>403</v>
      </c>
      <c r="C95" s="83" t="s">
        <v>237</v>
      </c>
      <c r="D95" s="105">
        <v>10</v>
      </c>
      <c r="E95" s="105"/>
      <c r="F95" s="105"/>
      <c r="G95" s="105"/>
      <c r="H95" s="105"/>
      <c r="I95" s="105"/>
      <c r="J95" s="105"/>
      <c r="K95" s="105"/>
      <c r="L95" s="105"/>
      <c r="M95" s="112">
        <f>SUMIF('Наставни ансамбл'!J14:J368,"Биљана Ковачевић",'Наставни ансамбл'!G14:G368)</f>
        <v>0</v>
      </c>
      <c r="N95" s="105"/>
      <c r="O95" s="112"/>
      <c r="P95" s="112"/>
      <c r="Q95" s="112"/>
      <c r="R95" s="112"/>
      <c r="S95" s="112"/>
      <c r="T95" s="112"/>
      <c r="U95" s="112"/>
      <c r="V95" s="107">
        <f>SUMIF('Наставни ансамбл'!J14:J368,"Биљана Ковачевић",'Наставни ансамбл'!H14:H368)</f>
        <v>0</v>
      </c>
      <c r="W95" s="105"/>
      <c r="X95" s="137">
        <f t="shared" si="14"/>
        <v>0</v>
      </c>
      <c r="Y95" s="89">
        <f t="shared" si="12"/>
        <v>0</v>
      </c>
      <c r="Z95" s="591">
        <f>(X95+X96)/2</f>
        <v>0</v>
      </c>
      <c r="AA95" s="592">
        <f>Z95/10*100</f>
        <v>0</v>
      </c>
      <c r="AB95" s="556" t="s">
        <v>254</v>
      </c>
      <c r="AC95" s="556">
        <f>IF(Z95&gt;D95,Z95-D95,0)</f>
        <v>0</v>
      </c>
      <c r="AD95" s="585">
        <v>2</v>
      </c>
      <c r="AE95" s="585">
        <v>1</v>
      </c>
    </row>
    <row r="96" spans="1:31" s="1" customFormat="1" ht="15" customHeight="1" x14ac:dyDescent="0.25">
      <c r="A96" s="613"/>
      <c r="B96" s="617"/>
      <c r="C96" s="90" t="s">
        <v>238</v>
      </c>
      <c r="D96" s="131">
        <v>10</v>
      </c>
      <c r="E96" s="131"/>
      <c r="F96" s="131"/>
      <c r="G96" s="131"/>
      <c r="H96" s="131"/>
      <c r="I96" s="131"/>
      <c r="J96" s="131"/>
      <c r="K96" s="131"/>
      <c r="L96" s="131"/>
      <c r="M96" s="112">
        <f>SUMIF('Наставни ансамбл'!J378:J759,"Биљана Ковачевић",'Наставни ансамбл'!G378:G759)</f>
        <v>0</v>
      </c>
      <c r="N96" s="131"/>
      <c r="O96" s="112"/>
      <c r="P96" s="112"/>
      <c r="Q96" s="112"/>
      <c r="R96" s="112"/>
      <c r="S96" s="112"/>
      <c r="T96" s="112"/>
      <c r="U96" s="112"/>
      <c r="V96" s="107">
        <f>SUMIF('Наставни ансамбл'!J378:J759,"Биљана Ковачевић",'Наставни ансамбл'!H378:H759)</f>
        <v>0</v>
      </c>
      <c r="W96" s="131"/>
      <c r="X96" s="138">
        <f t="shared" si="14"/>
        <v>0</v>
      </c>
      <c r="Y96" s="132">
        <f t="shared" si="12"/>
        <v>0</v>
      </c>
      <c r="Z96" s="557"/>
      <c r="AA96" s="559"/>
      <c r="AB96" s="557"/>
      <c r="AC96" s="557"/>
      <c r="AD96" s="553"/>
      <c r="AE96" s="553"/>
    </row>
    <row r="97" spans="1:31" s="1" customFormat="1" ht="15" customHeight="1" x14ac:dyDescent="0.25">
      <c r="A97" s="613">
        <v>13</v>
      </c>
      <c r="B97" s="616" t="s">
        <v>380</v>
      </c>
      <c r="C97" s="83" t="s">
        <v>237</v>
      </c>
      <c r="D97" s="105">
        <v>10</v>
      </c>
      <c r="E97" s="105"/>
      <c r="F97" s="105"/>
      <c r="G97" s="105"/>
      <c r="H97" s="105"/>
      <c r="I97" s="105"/>
      <c r="J97" s="105"/>
      <c r="K97" s="105"/>
      <c r="L97" s="105"/>
      <c r="M97" s="112">
        <f>SUMIF('Наставни ансамбл'!J14:J368,"Никола Кукрић",'Наставни ансамбл'!G14:G368)</f>
        <v>0</v>
      </c>
      <c r="N97" s="105"/>
      <c r="O97" s="112"/>
      <c r="P97" s="112"/>
      <c r="Q97" s="112"/>
      <c r="R97" s="112"/>
      <c r="S97" s="112"/>
      <c r="T97" s="112"/>
      <c r="U97" s="112"/>
      <c r="V97" s="107">
        <f>SUMIF('Наставни ансамбл'!J14:J368,"Никола Кукрић",'Наставни ансамбл'!H14:H368)</f>
        <v>2</v>
      </c>
      <c r="W97" s="105"/>
      <c r="X97" s="137">
        <f t="shared" si="14"/>
        <v>2</v>
      </c>
      <c r="Y97" s="89">
        <f t="shared" si="12"/>
        <v>20</v>
      </c>
      <c r="Z97" s="591">
        <f>(X97+X98)/2</f>
        <v>2</v>
      </c>
      <c r="AA97" s="592">
        <f>Z97/10*100</f>
        <v>20</v>
      </c>
      <c r="AB97" s="556" t="s">
        <v>254</v>
      </c>
      <c r="AC97" s="556">
        <f>IF(Z97&gt;D97,Z97-D97,0)</f>
        <v>0</v>
      </c>
      <c r="AD97" s="585">
        <v>1</v>
      </c>
      <c r="AE97" s="585">
        <v>1</v>
      </c>
    </row>
    <row r="98" spans="1:31" s="1" customFormat="1" ht="15" customHeight="1" x14ac:dyDescent="0.25">
      <c r="A98" s="613"/>
      <c r="B98" s="619"/>
      <c r="C98" s="90" t="s">
        <v>238</v>
      </c>
      <c r="D98" s="131">
        <v>10</v>
      </c>
      <c r="E98" s="131"/>
      <c r="F98" s="131"/>
      <c r="G98" s="131"/>
      <c r="H98" s="131"/>
      <c r="I98" s="131"/>
      <c r="J98" s="131"/>
      <c r="K98" s="131"/>
      <c r="L98" s="131"/>
      <c r="M98" s="112">
        <f>SUMIF('Наставни ансамбл'!J378:J759,"Никола Кукрић",'Наставни ансамбл'!G378:G759)</f>
        <v>0</v>
      </c>
      <c r="N98" s="131"/>
      <c r="O98" s="112"/>
      <c r="P98" s="112"/>
      <c r="Q98" s="112"/>
      <c r="R98" s="112"/>
      <c r="S98" s="112"/>
      <c r="T98" s="112"/>
      <c r="U98" s="112"/>
      <c r="V98" s="107">
        <f>SUMIF('Наставни ансамбл'!J378:J759,"Никола Кукрић",'Наставни ансамбл'!H378:H759)</f>
        <v>2</v>
      </c>
      <c r="W98" s="131"/>
      <c r="X98" s="138">
        <f t="shared" si="14"/>
        <v>2</v>
      </c>
      <c r="Y98" s="132">
        <f t="shared" si="12"/>
        <v>20</v>
      </c>
      <c r="Z98" s="557"/>
      <c r="AA98" s="559"/>
      <c r="AB98" s="557"/>
      <c r="AC98" s="557"/>
      <c r="AD98" s="553"/>
      <c r="AE98" s="553"/>
    </row>
    <row r="99" spans="1:31" s="1" customFormat="1" ht="15" customHeight="1" x14ac:dyDescent="0.25">
      <c r="A99" s="613">
        <v>14</v>
      </c>
      <c r="B99" s="616" t="s">
        <v>531</v>
      </c>
      <c r="C99" s="83" t="s">
        <v>237</v>
      </c>
      <c r="D99" s="105">
        <v>10</v>
      </c>
      <c r="E99" s="105"/>
      <c r="F99" s="105"/>
      <c r="G99" s="105"/>
      <c r="H99" s="105"/>
      <c r="I99" s="105"/>
      <c r="J99" s="105"/>
      <c r="K99" s="105"/>
      <c r="L99" s="105"/>
      <c r="M99" s="112">
        <f>SUMIF('Наставни ансамбл'!J14:J368,"Лана Шикуљак",'Наставни ансамбл'!G14:G368)</f>
        <v>0</v>
      </c>
      <c r="N99" s="105"/>
      <c r="O99" s="112"/>
      <c r="P99" s="112"/>
      <c r="Q99" s="112"/>
      <c r="R99" s="112"/>
      <c r="S99" s="112"/>
      <c r="T99" s="112"/>
      <c r="U99" s="112"/>
      <c r="V99" s="107">
        <f>SUMIF('Наставни ансамбл'!J14:J368,"Лана Шикуљак",'Наставни ансамбл'!H14:H368)</f>
        <v>0</v>
      </c>
      <c r="W99" s="105"/>
      <c r="X99" s="137">
        <f t="shared" si="14"/>
        <v>0</v>
      </c>
      <c r="Y99" s="89">
        <f t="shared" si="12"/>
        <v>0</v>
      </c>
      <c r="Z99" s="591">
        <f>(X99+X100)/2</f>
        <v>1</v>
      </c>
      <c r="AA99" s="592">
        <f>Z99/10*100</f>
        <v>10</v>
      </c>
      <c r="AB99" s="556" t="s">
        <v>254</v>
      </c>
      <c r="AC99" s="556">
        <f>IF(Z99&gt;D99,Z99-D99,0)</f>
        <v>0</v>
      </c>
      <c r="AD99" s="585">
        <v>2</v>
      </c>
      <c r="AE99" s="585">
        <v>2</v>
      </c>
    </row>
    <row r="100" spans="1:31" s="1" customFormat="1" ht="15" customHeight="1" x14ac:dyDescent="0.25">
      <c r="A100" s="613"/>
      <c r="B100" s="618"/>
      <c r="C100" s="90" t="s">
        <v>238</v>
      </c>
      <c r="D100" s="131">
        <v>10</v>
      </c>
      <c r="E100" s="131"/>
      <c r="F100" s="131"/>
      <c r="G100" s="131"/>
      <c r="H100" s="131"/>
      <c r="I100" s="131"/>
      <c r="J100" s="131"/>
      <c r="K100" s="131"/>
      <c r="L100" s="131"/>
      <c r="M100" s="112">
        <f>SUMIF('Наставни ансамбл'!J378:J759,"Лана Шикуљак",'Наставни ансамбл'!G378:G759)</f>
        <v>0</v>
      </c>
      <c r="N100" s="131"/>
      <c r="O100" s="112"/>
      <c r="P100" s="112"/>
      <c r="Q100" s="112"/>
      <c r="R100" s="112"/>
      <c r="S100" s="112"/>
      <c r="T100" s="112"/>
      <c r="U100" s="112"/>
      <c r="V100" s="107">
        <f>SUMIF('Наставни ансамбл'!J378:J759,"Лана Шикуљак",'Наставни ансамбл'!H378:H759)</f>
        <v>2</v>
      </c>
      <c r="W100" s="131"/>
      <c r="X100" s="138">
        <f t="shared" si="14"/>
        <v>2</v>
      </c>
      <c r="Y100" s="132">
        <f t="shared" si="12"/>
        <v>20</v>
      </c>
      <c r="Z100" s="557"/>
      <c r="AA100" s="559"/>
      <c r="AB100" s="557"/>
      <c r="AC100" s="557"/>
      <c r="AD100" s="553"/>
      <c r="AE100" s="553"/>
    </row>
    <row r="101" spans="1:31" s="1" customFormat="1" ht="15" customHeight="1" x14ac:dyDescent="0.25">
      <c r="A101" s="620">
        <v>15</v>
      </c>
      <c r="B101" s="616" t="s">
        <v>397</v>
      </c>
      <c r="C101" s="83" t="s">
        <v>237</v>
      </c>
      <c r="D101" s="105">
        <v>10</v>
      </c>
      <c r="E101" s="105"/>
      <c r="F101" s="105"/>
      <c r="G101" s="105"/>
      <c r="H101" s="105"/>
      <c r="I101" s="105"/>
      <c r="J101" s="105"/>
      <c r="K101" s="105"/>
      <c r="L101" s="105"/>
      <c r="M101" s="112">
        <f>SUMIF('Наставни ансамбл'!J14:J368,"Наташа Марић",'Наставни ансамбл'!G14:G368)</f>
        <v>0</v>
      </c>
      <c r="N101" s="105"/>
      <c r="O101" s="112"/>
      <c r="P101" s="112"/>
      <c r="Q101" s="112"/>
      <c r="R101" s="112"/>
      <c r="S101" s="112"/>
      <c r="T101" s="112"/>
      <c r="U101" s="112"/>
      <c r="V101" s="107">
        <f>SUMIF('Наставни ансамбл'!J14:J368,"Наташа Марић",'Наставни ансамбл'!H14:H368)</f>
        <v>0</v>
      </c>
      <c r="W101" s="105"/>
      <c r="X101" s="137">
        <f t="shared" si="14"/>
        <v>0</v>
      </c>
      <c r="Y101" s="89">
        <f t="shared" si="12"/>
        <v>0</v>
      </c>
      <c r="Z101" s="591">
        <f>(X101+X102)/2</f>
        <v>0</v>
      </c>
      <c r="AA101" s="592">
        <f>Z101/10*100</f>
        <v>0</v>
      </c>
      <c r="AB101" s="556" t="s">
        <v>254</v>
      </c>
      <c r="AC101" s="556">
        <f>IF(Z101&gt;D101,Z101-D101,0)</f>
        <v>0</v>
      </c>
      <c r="AD101" s="585">
        <v>0</v>
      </c>
      <c r="AE101" s="585">
        <v>2</v>
      </c>
    </row>
    <row r="102" spans="1:31" s="1" customFormat="1" ht="15" customHeight="1" x14ac:dyDescent="0.25">
      <c r="A102" s="583"/>
      <c r="B102" s="619"/>
      <c r="C102" s="90" t="s">
        <v>238</v>
      </c>
      <c r="D102" s="131">
        <v>10</v>
      </c>
      <c r="E102" s="131"/>
      <c r="F102" s="131"/>
      <c r="G102" s="131"/>
      <c r="H102" s="131"/>
      <c r="I102" s="131"/>
      <c r="J102" s="131"/>
      <c r="K102" s="131"/>
      <c r="L102" s="131"/>
      <c r="M102" s="112">
        <f>SUMIF('Наставни ансамбл'!J378:J759,"Наташа Марић",'Наставни ансамбл'!G378:G759)</f>
        <v>0</v>
      </c>
      <c r="N102" s="131"/>
      <c r="O102" s="112"/>
      <c r="P102" s="112"/>
      <c r="Q102" s="112"/>
      <c r="R102" s="112"/>
      <c r="S102" s="112"/>
      <c r="T102" s="112"/>
      <c r="U102" s="112"/>
      <c r="V102" s="107">
        <f>SUMIF('Наставни ансамбл'!J378:J759,"Наташа Марић",'Наставни ансамбл'!H378:H759)</f>
        <v>0</v>
      </c>
      <c r="W102" s="131"/>
      <c r="X102" s="138">
        <f t="shared" si="14"/>
        <v>0</v>
      </c>
      <c r="Y102" s="132">
        <f t="shared" si="12"/>
        <v>0</v>
      </c>
      <c r="Z102" s="557"/>
      <c r="AA102" s="559"/>
      <c r="AB102" s="557"/>
      <c r="AC102" s="557"/>
      <c r="AD102" s="553"/>
      <c r="AE102" s="553"/>
    </row>
    <row r="103" spans="1:31" s="1" customFormat="1" ht="15" customHeight="1" x14ac:dyDescent="0.25">
      <c r="A103" s="613">
        <v>16</v>
      </c>
      <c r="B103" s="616" t="s">
        <v>326</v>
      </c>
      <c r="C103" s="83" t="s">
        <v>237</v>
      </c>
      <c r="D103" s="105">
        <v>10</v>
      </c>
      <c r="E103" s="105"/>
      <c r="F103" s="105"/>
      <c r="G103" s="105"/>
      <c r="H103" s="105"/>
      <c r="I103" s="105"/>
      <c r="J103" s="105"/>
      <c r="K103" s="105"/>
      <c r="L103" s="105"/>
      <c r="M103" s="112">
        <f>SUMIF('Наставни ансамбл'!J14:J368,"Раде Божић",'Наставни ансамбл'!G14:G368)</f>
        <v>0</v>
      </c>
      <c r="N103" s="105"/>
      <c r="O103" s="112"/>
      <c r="P103" s="112"/>
      <c r="Q103" s="112"/>
      <c r="R103" s="112"/>
      <c r="S103" s="112"/>
      <c r="T103" s="112"/>
      <c r="U103" s="112"/>
      <c r="V103" s="107">
        <f>SUMIF('Наставни ансамбл'!J14:J368,"Раде Божић",'Наставни ансамбл'!H14:H368)</f>
        <v>0</v>
      </c>
      <c r="W103" s="105"/>
      <c r="X103" s="343">
        <f t="shared" si="14"/>
        <v>0</v>
      </c>
      <c r="Y103" s="89">
        <f t="shared" ref="Y103:Y104" si="15">X103/D103*100</f>
        <v>0</v>
      </c>
      <c r="Z103" s="591">
        <f>(X103+X104)/2</f>
        <v>1</v>
      </c>
      <c r="AA103" s="592">
        <f>Z103/10*100</f>
        <v>10</v>
      </c>
      <c r="AB103" s="556" t="s">
        <v>254</v>
      </c>
      <c r="AC103" s="556">
        <f>IF(Z103&gt;D103,Z103-D103,0)</f>
        <v>0</v>
      </c>
      <c r="AD103" s="585">
        <v>0</v>
      </c>
      <c r="AE103" s="585">
        <v>1</v>
      </c>
    </row>
    <row r="104" spans="1:31" s="1" customFormat="1" ht="15" customHeight="1" x14ac:dyDescent="0.25">
      <c r="A104" s="613"/>
      <c r="B104" s="618"/>
      <c r="C104" s="90" t="s">
        <v>238</v>
      </c>
      <c r="D104" s="131">
        <v>10</v>
      </c>
      <c r="E104" s="131"/>
      <c r="F104" s="131"/>
      <c r="G104" s="131"/>
      <c r="H104" s="131"/>
      <c r="I104" s="131"/>
      <c r="J104" s="131"/>
      <c r="K104" s="131"/>
      <c r="L104" s="131"/>
      <c r="M104" s="112">
        <f>SUMIF('Наставни ансамбл'!J378:J759,"Раде Божић",'Наставни ансамбл'!G378:G759)</f>
        <v>0</v>
      </c>
      <c r="N104" s="131"/>
      <c r="O104" s="112"/>
      <c r="P104" s="112"/>
      <c r="Q104" s="112"/>
      <c r="R104" s="112"/>
      <c r="S104" s="112"/>
      <c r="T104" s="112"/>
      <c r="U104" s="112"/>
      <c r="V104" s="107">
        <f>SUMIF('Наставни ансамбл'!J378:J759,"Раде Божић",'Наставни ансамбл'!H378:H759)</f>
        <v>2</v>
      </c>
      <c r="W104" s="131"/>
      <c r="X104" s="138">
        <f t="shared" si="14"/>
        <v>2</v>
      </c>
      <c r="Y104" s="132">
        <f t="shared" si="15"/>
        <v>20</v>
      </c>
      <c r="Z104" s="557"/>
      <c r="AA104" s="559"/>
      <c r="AB104" s="557"/>
      <c r="AC104" s="557"/>
      <c r="AD104" s="553"/>
      <c r="AE104" s="553"/>
    </row>
    <row r="105" spans="1:31" s="1" customFormat="1" ht="15" customHeight="1" x14ac:dyDescent="0.25">
      <c r="A105" s="613">
        <v>17</v>
      </c>
      <c r="B105" s="616" t="s">
        <v>412</v>
      </c>
      <c r="C105" s="83" t="s">
        <v>237</v>
      </c>
      <c r="D105" s="105">
        <v>10</v>
      </c>
      <c r="E105" s="105"/>
      <c r="F105" s="105"/>
      <c r="G105" s="105"/>
      <c r="H105" s="105"/>
      <c r="I105" s="105"/>
      <c r="J105" s="105"/>
      <c r="K105" s="105"/>
      <c r="L105" s="105"/>
      <c r="M105" s="112">
        <f>SUMIF('Наставни ансамбл'!J14:J368,"Миломирка Обреновић",'Наставни ансамбл'!G14:G368)</f>
        <v>0</v>
      </c>
      <c r="N105" s="105"/>
      <c r="O105" s="112"/>
      <c r="P105" s="112"/>
      <c r="Q105" s="112"/>
      <c r="R105" s="112"/>
      <c r="S105" s="112"/>
      <c r="T105" s="112"/>
      <c r="U105" s="112"/>
      <c r="V105" s="107">
        <f>SUMIF('Наставни ансамбл'!J14:J368,"Миломирка Обреновић",'Наставни ансамбл'!H14:H368)</f>
        <v>2</v>
      </c>
      <c r="W105" s="105"/>
      <c r="X105" s="137">
        <f t="shared" si="14"/>
        <v>2</v>
      </c>
      <c r="Y105" s="89">
        <f t="shared" si="12"/>
        <v>20</v>
      </c>
      <c r="Z105" s="591">
        <f>(X105+X106)/2</f>
        <v>2</v>
      </c>
      <c r="AA105" s="592">
        <f>Z105/10*100</f>
        <v>20</v>
      </c>
      <c r="AB105" s="556" t="s">
        <v>254</v>
      </c>
      <c r="AC105" s="556">
        <f>IF(Z105&gt;D105,Z105-D105,0)</f>
        <v>0</v>
      </c>
      <c r="AD105" s="585">
        <v>0</v>
      </c>
      <c r="AE105" s="585">
        <v>1</v>
      </c>
    </row>
    <row r="106" spans="1:31" s="1" customFormat="1" ht="15" customHeight="1" x14ac:dyDescent="0.25">
      <c r="A106" s="613"/>
      <c r="B106" s="618"/>
      <c r="C106" s="90" t="s">
        <v>238</v>
      </c>
      <c r="D106" s="131">
        <v>10</v>
      </c>
      <c r="E106" s="131"/>
      <c r="F106" s="131"/>
      <c r="G106" s="131"/>
      <c r="H106" s="131"/>
      <c r="I106" s="131"/>
      <c r="J106" s="131"/>
      <c r="K106" s="131"/>
      <c r="L106" s="131"/>
      <c r="M106" s="112">
        <f>SUMIF('Наставни ансамбл'!J378:J759,"Миломирка Обреновић",'Наставни ансамбл'!G378:G759)</f>
        <v>0</v>
      </c>
      <c r="N106" s="131"/>
      <c r="O106" s="112"/>
      <c r="P106" s="112"/>
      <c r="Q106" s="112"/>
      <c r="R106" s="112"/>
      <c r="S106" s="112"/>
      <c r="T106" s="112"/>
      <c r="U106" s="112"/>
      <c r="V106" s="107">
        <f>SUMIF('Наставни ансамбл'!J378:J759,"Миломирка Обреновић",'Наставни ансамбл'!H378:H759)</f>
        <v>2</v>
      </c>
      <c r="W106" s="131"/>
      <c r="X106" s="138">
        <f t="shared" si="14"/>
        <v>2</v>
      </c>
      <c r="Y106" s="132">
        <f t="shared" si="12"/>
        <v>20</v>
      </c>
      <c r="Z106" s="557"/>
      <c r="AA106" s="559"/>
      <c r="AB106" s="557"/>
      <c r="AC106" s="557"/>
      <c r="AD106" s="553"/>
      <c r="AE106" s="553"/>
    </row>
    <row r="107" spans="1:31" s="1" customFormat="1" ht="15" customHeight="1" x14ac:dyDescent="0.25">
      <c r="A107" s="114"/>
      <c r="B107" s="605" t="s">
        <v>251</v>
      </c>
      <c r="C107" s="606" t="s">
        <v>237</v>
      </c>
      <c r="D107" s="606"/>
      <c r="E107" s="260"/>
      <c r="F107" s="260"/>
      <c r="G107" s="260"/>
      <c r="H107" s="260"/>
      <c r="I107" s="260"/>
      <c r="J107" s="260"/>
      <c r="K107" s="260"/>
      <c r="L107" s="260"/>
      <c r="M107" s="260"/>
      <c r="N107" s="257">
        <f>M73+M75+M77+M79+M81+M83+M87+M89+M91+M97+M99+M105</f>
        <v>14</v>
      </c>
      <c r="O107" s="257"/>
      <c r="P107" s="257"/>
      <c r="Q107" s="257"/>
      <c r="R107" s="257"/>
      <c r="S107" s="257"/>
      <c r="T107" s="257"/>
      <c r="U107" s="257"/>
      <c r="V107" s="257"/>
      <c r="W107" s="257">
        <f>W73+W75+W77+W79+W81+W83+W85+W87+W89+W91+W97+W99+W105</f>
        <v>0</v>
      </c>
      <c r="X107" s="115"/>
      <c r="Y107" s="103"/>
      <c r="Z107" s="110"/>
      <c r="AA107" s="104"/>
      <c r="AB107" s="110"/>
      <c r="AC107" s="110"/>
      <c r="AD107" s="100"/>
      <c r="AE107" s="100"/>
    </row>
    <row r="108" spans="1:31" s="1" customFormat="1" ht="15" customHeight="1" x14ac:dyDescent="0.25">
      <c r="A108" s="116"/>
      <c r="B108" s="605"/>
      <c r="C108" s="608" t="s">
        <v>238</v>
      </c>
      <c r="D108" s="608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>
        <f>M74+M76+M78+M80+M82+M84+M86+M88+M90+M92+M98+M100+M106</f>
        <v>10</v>
      </c>
      <c r="O108" s="257"/>
      <c r="P108" s="257"/>
      <c r="Q108" s="257"/>
      <c r="R108" s="257"/>
      <c r="S108" s="257"/>
      <c r="T108" s="257"/>
      <c r="U108" s="257"/>
      <c r="V108" s="257"/>
      <c r="W108" s="257">
        <f>W74+W76+W78+W80+W82+W84+W86+W88+W90+W92+W98+W100+W106</f>
        <v>0</v>
      </c>
      <c r="X108" s="117"/>
      <c r="Y108" s="103"/>
      <c r="Z108" s="110"/>
      <c r="AA108" s="104"/>
      <c r="AB108" s="110"/>
      <c r="AC108" s="110"/>
      <c r="AD108" s="100"/>
      <c r="AE108" s="100"/>
    </row>
    <row r="109" spans="1:31" s="1" customFormat="1" x14ac:dyDescent="0.25">
      <c r="A109" s="100"/>
      <c r="B109" s="102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103"/>
      <c r="Z109" s="100"/>
      <c r="AA109" s="104"/>
      <c r="AB109" s="104"/>
      <c r="AC109" s="104"/>
      <c r="AD109" s="100"/>
      <c r="AE109" s="100"/>
    </row>
    <row r="110" spans="1:31" s="1" customFormat="1" x14ac:dyDescent="0.25">
      <c r="A110" s="76" t="s">
        <v>255</v>
      </c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X110" s="77"/>
      <c r="Y110" s="77"/>
      <c r="AD110" s="100"/>
      <c r="AE110" s="100"/>
    </row>
    <row r="111" spans="1:31" s="1" customFormat="1" x14ac:dyDescent="0.25"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X111" s="77"/>
      <c r="Y111" s="77"/>
      <c r="AD111" s="100"/>
      <c r="AE111" s="100"/>
    </row>
    <row r="112" spans="1:31" s="1" customFormat="1" x14ac:dyDescent="0.25">
      <c r="A112" s="570" t="s">
        <v>213</v>
      </c>
      <c r="B112" s="570" t="s">
        <v>214</v>
      </c>
      <c r="C112" s="571" t="s">
        <v>215</v>
      </c>
      <c r="D112" s="573" t="s">
        <v>216</v>
      </c>
      <c r="E112" s="258"/>
      <c r="F112" s="258"/>
      <c r="G112" s="258"/>
      <c r="H112" s="258"/>
      <c r="I112" s="258"/>
      <c r="J112" s="258"/>
      <c r="K112" s="258"/>
      <c r="L112" s="258"/>
      <c r="M112" s="258"/>
      <c r="N112" s="548"/>
      <c r="O112" s="255"/>
      <c r="P112" s="255"/>
      <c r="Q112" s="255"/>
      <c r="R112" s="255"/>
      <c r="S112" s="255"/>
      <c r="T112" s="255"/>
      <c r="U112" s="255"/>
      <c r="V112" s="255"/>
      <c r="W112" s="548"/>
      <c r="X112" s="564"/>
      <c r="Y112" s="566"/>
      <c r="Z112" s="564"/>
      <c r="AA112" s="548"/>
      <c r="AB112" s="548" t="s">
        <v>225</v>
      </c>
      <c r="AC112" s="548" t="s">
        <v>226</v>
      </c>
      <c r="AD112" s="550"/>
      <c r="AE112" s="551"/>
    </row>
    <row r="113" spans="1:31" s="1" customFormat="1" x14ac:dyDescent="0.25">
      <c r="A113" s="570"/>
      <c r="B113" s="570"/>
      <c r="C113" s="572"/>
      <c r="D113" s="573"/>
      <c r="E113" s="259"/>
      <c r="F113" s="259"/>
      <c r="G113" s="259"/>
      <c r="H113" s="259"/>
      <c r="I113" s="259"/>
      <c r="J113" s="259"/>
      <c r="K113" s="259"/>
      <c r="L113" s="259"/>
      <c r="M113" s="259"/>
      <c r="N113" s="549"/>
      <c r="O113" s="256"/>
      <c r="P113" s="256"/>
      <c r="Q113" s="256"/>
      <c r="R113" s="256"/>
      <c r="S113" s="256"/>
      <c r="T113" s="256"/>
      <c r="U113" s="256"/>
      <c r="V113" s="256"/>
      <c r="W113" s="549"/>
      <c r="X113" s="565"/>
      <c r="Y113" s="567"/>
      <c r="Z113" s="565"/>
      <c r="AA113" s="549"/>
      <c r="AB113" s="549"/>
      <c r="AC113" s="549"/>
      <c r="AD113" s="78"/>
      <c r="AE113" s="78"/>
    </row>
    <row r="114" spans="1:31" s="1" customFormat="1" x14ac:dyDescent="0.25"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X114" s="77"/>
      <c r="Y114" s="77"/>
      <c r="AD114" s="100"/>
      <c r="AE114" s="100"/>
    </row>
    <row r="115" spans="1:31" s="1" customFormat="1" x14ac:dyDescent="0.25">
      <c r="A115" s="620">
        <v>1</v>
      </c>
      <c r="B115" s="621" t="s">
        <v>265</v>
      </c>
      <c r="C115" s="83" t="s">
        <v>237</v>
      </c>
      <c r="D115" s="84">
        <v>3</v>
      </c>
      <c r="E115" s="130"/>
      <c r="F115" s="130"/>
      <c r="G115" s="130"/>
      <c r="H115" s="130"/>
      <c r="I115" s="130"/>
      <c r="J115" s="130"/>
      <c r="K115" s="130"/>
      <c r="L115" s="130"/>
      <c r="M115" s="86">
        <f>SUMIF('Наставни ансамбл'!J14:J368,"Наташа Цвијановић",'Наставни ансамбл'!G14:G368)</f>
        <v>0</v>
      </c>
      <c r="N115" s="130"/>
      <c r="O115" s="86"/>
      <c r="P115" s="86"/>
      <c r="Q115" s="86"/>
      <c r="R115" s="86"/>
      <c r="S115" s="86"/>
      <c r="T115" s="86"/>
      <c r="U115" s="86"/>
      <c r="V115" s="88">
        <f>SUMIF('Наставни ансамбл'!J14:J368,"Наташа Цвијановић",'Наставни ансамбл'!H14:H368)</f>
        <v>0</v>
      </c>
      <c r="W115" s="130"/>
      <c r="X115" s="130">
        <f>I115+J115+M115+V115</f>
        <v>0</v>
      </c>
      <c r="Y115" s="113">
        <f t="shared" ref="Y115" si="16">X115/D115*100</f>
        <v>0</v>
      </c>
      <c r="Z115" s="556">
        <f>(X115+X116)/2</f>
        <v>1.9</v>
      </c>
      <c r="AA115" s="558">
        <f>Z115/D115*100</f>
        <v>63.333333333333329</v>
      </c>
      <c r="AB115" s="556" t="s">
        <v>254</v>
      </c>
      <c r="AC115" s="556">
        <f>IF(Z115&gt;D115,Z115-D115,0)</f>
        <v>0</v>
      </c>
      <c r="AD115" s="560">
        <v>0</v>
      </c>
      <c r="AE115" s="552">
        <v>1</v>
      </c>
    </row>
    <row r="116" spans="1:31" s="1" customFormat="1" x14ac:dyDescent="0.25">
      <c r="A116" s="583"/>
      <c r="B116" s="584"/>
      <c r="C116" s="90" t="s">
        <v>238</v>
      </c>
      <c r="D116" s="91">
        <v>3</v>
      </c>
      <c r="E116" s="111"/>
      <c r="F116" s="111"/>
      <c r="G116" s="111"/>
      <c r="H116" s="111"/>
      <c r="I116" s="111"/>
      <c r="J116" s="111"/>
      <c r="K116" s="111"/>
      <c r="L116" s="111"/>
      <c r="M116" s="86">
        <f>SUMIF('Наставни ансамбл'!J378:J759,"Наташа Цвијановић",'Наставни ансамбл'!G378:G759)</f>
        <v>2</v>
      </c>
      <c r="N116" s="111"/>
      <c r="O116" s="112"/>
      <c r="P116" s="112"/>
      <c r="Q116" s="112"/>
      <c r="R116" s="112"/>
      <c r="S116" s="112"/>
      <c r="T116" s="112"/>
      <c r="U116" s="112"/>
      <c r="V116" s="107">
        <f>SUMIF('Наставни ансамбл'!J378:J759,"Наташа Цвијановић",'Наставни ансамбл'!H378:H759)</f>
        <v>3</v>
      </c>
      <c r="W116" s="111"/>
      <c r="X116" s="91">
        <f>M116+(V116*0.6)</f>
        <v>3.8</v>
      </c>
      <c r="Y116" s="93">
        <f>X116/D116*100</f>
        <v>126.66666666666666</v>
      </c>
      <c r="Z116" s="557"/>
      <c r="AA116" s="559"/>
      <c r="AB116" s="583"/>
      <c r="AC116" s="583"/>
      <c r="AD116" s="553"/>
      <c r="AE116" s="583"/>
    </row>
    <row r="117" spans="1:31" s="1" customFormat="1" x14ac:dyDescent="0.25">
      <c r="A117" s="585">
        <v>2</v>
      </c>
      <c r="B117" s="611" t="s">
        <v>401</v>
      </c>
      <c r="C117" s="83" t="s">
        <v>237</v>
      </c>
      <c r="D117" s="84">
        <v>3</v>
      </c>
      <c r="E117" s="105"/>
      <c r="F117" s="105"/>
      <c r="G117" s="105"/>
      <c r="H117" s="105"/>
      <c r="I117" s="204">
        <v>2.6</v>
      </c>
      <c r="J117" s="204">
        <v>4</v>
      </c>
      <c r="K117" s="105"/>
      <c r="L117" s="105"/>
      <c r="M117" s="86">
        <f>SUMIF('Наставни ансамбл'!J14:J368,"Александар Ђурић",'Наставни ансамбл'!G14:G368)</f>
        <v>4</v>
      </c>
      <c r="N117" s="105"/>
      <c r="O117" s="112"/>
      <c r="P117" s="112"/>
      <c r="Q117" s="112"/>
      <c r="R117" s="112"/>
      <c r="S117" s="112"/>
      <c r="T117" s="112"/>
      <c r="U117" s="112"/>
      <c r="V117" s="107">
        <f>SUMIF('Наставни ансамбл'!J14:J368,"Александар Ђурић",'Наставни ансамбл'!H14:H368)</f>
        <v>2</v>
      </c>
      <c r="W117" s="105"/>
      <c r="X117" s="84">
        <f>I117+J117+M117+V117</f>
        <v>12.6</v>
      </c>
      <c r="Y117" s="89">
        <f t="shared" ref="Y117:Y124" si="17">X117/D117*100</f>
        <v>420</v>
      </c>
      <c r="Z117" s="591">
        <f>(X117+X118)/2</f>
        <v>13.3</v>
      </c>
      <c r="AA117" s="592">
        <f>Z117/10*100</f>
        <v>133</v>
      </c>
      <c r="AB117" s="556" t="s">
        <v>254</v>
      </c>
      <c r="AC117" s="556">
        <f>IF(Z117&gt;D117,Z117-D117,0)</f>
        <v>10.3</v>
      </c>
      <c r="AD117" s="560">
        <v>4</v>
      </c>
      <c r="AE117" s="585">
        <v>3</v>
      </c>
    </row>
    <row r="118" spans="1:31" s="1" customFormat="1" ht="15" customHeight="1" x14ac:dyDescent="0.25">
      <c r="A118" s="553"/>
      <c r="B118" s="581"/>
      <c r="C118" s="90" t="s">
        <v>238</v>
      </c>
      <c r="D118" s="91">
        <v>3</v>
      </c>
      <c r="E118" s="131"/>
      <c r="F118" s="131"/>
      <c r="G118" s="131"/>
      <c r="H118" s="131"/>
      <c r="I118" s="177"/>
      <c r="J118" s="177"/>
      <c r="K118" s="131"/>
      <c r="L118" s="131"/>
      <c r="M118" s="86">
        <f>SUMIF('Наставни ансамбл'!J378:J759,"Александар Ђурић",'Наставни ансамбл'!G378:G759)</f>
        <v>10</v>
      </c>
      <c r="N118" s="131"/>
      <c r="O118" s="86"/>
      <c r="P118" s="86"/>
      <c r="Q118" s="86"/>
      <c r="R118" s="86"/>
      <c r="S118" s="86"/>
      <c r="T118" s="86"/>
      <c r="U118" s="86"/>
      <c r="V118" s="88">
        <f>SUMIF('Наставни ансамбл'!J378:J759,"Александар Ђурић",'Наставни ансамбл'!H378:H759)</f>
        <v>4</v>
      </c>
      <c r="W118" s="131"/>
      <c r="X118" s="129">
        <f>I118+J118+M118+V118</f>
        <v>14</v>
      </c>
      <c r="Y118" s="132">
        <f t="shared" si="17"/>
        <v>466.66666666666669</v>
      </c>
      <c r="Z118" s="557"/>
      <c r="AA118" s="559"/>
      <c r="AB118" s="557"/>
      <c r="AC118" s="557"/>
      <c r="AD118" s="553"/>
      <c r="AE118" s="553"/>
    </row>
    <row r="119" spans="1:31" s="1" customFormat="1" x14ac:dyDescent="0.25">
      <c r="A119" s="552">
        <v>3</v>
      </c>
      <c r="B119" s="622" t="s">
        <v>198</v>
      </c>
      <c r="C119" s="83" t="s">
        <v>237</v>
      </c>
      <c r="D119" s="84">
        <v>3</v>
      </c>
      <c r="E119" s="84"/>
      <c r="F119" s="84"/>
      <c r="G119" s="84"/>
      <c r="H119" s="84"/>
      <c r="I119" s="84"/>
      <c r="J119" s="84"/>
      <c r="K119" s="84"/>
      <c r="L119" s="84"/>
      <c r="M119" s="86">
        <f>SUMIF('Наставни ансамбл'!J14:J368,"Александар Дошић",'Наставни ансамбл'!G14:G368)</f>
        <v>2</v>
      </c>
      <c r="N119" s="84"/>
      <c r="O119" s="86"/>
      <c r="P119" s="86"/>
      <c r="Q119" s="86"/>
      <c r="R119" s="86"/>
      <c r="S119" s="86"/>
      <c r="T119" s="86"/>
      <c r="U119" s="86"/>
      <c r="V119" s="88">
        <f>SUMIF('Наставни ансамбл'!J14:J368,"Александар Дошић",'Наставни ансамбл'!H14:H368)</f>
        <v>0</v>
      </c>
      <c r="W119" s="84"/>
      <c r="X119" s="84">
        <f t="shared" ref="X119:X124" si="18">M119+(V119*0.6)</f>
        <v>2</v>
      </c>
      <c r="Y119" s="89">
        <f t="shared" si="17"/>
        <v>66.666666666666657</v>
      </c>
      <c r="Z119" s="556">
        <f>(X119+X120)/2</f>
        <v>2</v>
      </c>
      <c r="AA119" s="558">
        <f>Z119/10*100</f>
        <v>20</v>
      </c>
      <c r="AB119" s="556" t="s">
        <v>254</v>
      </c>
      <c r="AC119" s="556">
        <f>IF(Z119&gt;D119,Z119-D119,0)</f>
        <v>0</v>
      </c>
      <c r="AD119" s="552">
        <v>1</v>
      </c>
      <c r="AE119" s="552">
        <v>1</v>
      </c>
    </row>
    <row r="120" spans="1:31" s="1" customFormat="1" ht="15" customHeight="1" x14ac:dyDescent="0.25">
      <c r="A120" s="553"/>
      <c r="B120" s="623"/>
      <c r="C120" s="90" t="s">
        <v>238</v>
      </c>
      <c r="D120" s="140">
        <v>3</v>
      </c>
      <c r="E120" s="140"/>
      <c r="F120" s="140"/>
      <c r="G120" s="140"/>
      <c r="H120" s="140"/>
      <c r="I120" s="140"/>
      <c r="J120" s="140"/>
      <c r="K120" s="140"/>
      <c r="L120" s="140"/>
      <c r="M120" s="86">
        <f>SUMIF('Наставни ансамбл'!J378:J759,"Александар Дошић",'Наставни ансамбл'!G378:G759)</f>
        <v>2</v>
      </c>
      <c r="N120" s="140"/>
      <c r="O120" s="86"/>
      <c r="P120" s="86"/>
      <c r="Q120" s="86"/>
      <c r="R120" s="86"/>
      <c r="S120" s="86"/>
      <c r="T120" s="86"/>
      <c r="U120" s="86"/>
      <c r="V120" s="88">
        <f>SUMIF('Наставни ансамбл'!J378:J759,"Александар Дошић",'Наставни ансамбл'!H378:H759)</f>
        <v>0</v>
      </c>
      <c r="W120" s="140"/>
      <c r="X120" s="129">
        <f t="shared" si="18"/>
        <v>2</v>
      </c>
      <c r="Y120" s="200">
        <f t="shared" si="17"/>
        <v>66.666666666666657</v>
      </c>
      <c r="Z120" s="557"/>
      <c r="AA120" s="559"/>
      <c r="AB120" s="557"/>
      <c r="AC120" s="557"/>
      <c r="AD120" s="553"/>
      <c r="AE120" s="553"/>
    </row>
    <row r="121" spans="1:31" s="1" customFormat="1" x14ac:dyDescent="0.25">
      <c r="A121" s="585">
        <v>4</v>
      </c>
      <c r="B121" s="611" t="s">
        <v>298</v>
      </c>
      <c r="C121" s="83" t="s">
        <v>237</v>
      </c>
      <c r="D121" s="84">
        <v>3</v>
      </c>
      <c r="E121" s="105"/>
      <c r="F121" s="105"/>
      <c r="G121" s="105"/>
      <c r="H121" s="105"/>
      <c r="I121" s="105"/>
      <c r="J121" s="105"/>
      <c r="K121" s="105"/>
      <c r="L121" s="105"/>
      <c r="M121" s="86">
        <f>SUMIF('Наставни ансамбл'!J14:J368,"Далиборка Јанковић",'Наставни ансамбл'!G14:G368)</f>
        <v>0</v>
      </c>
      <c r="N121" s="105"/>
      <c r="O121" s="112"/>
      <c r="P121" s="112"/>
      <c r="Q121" s="112"/>
      <c r="R121" s="112"/>
      <c r="S121" s="112"/>
      <c r="T121" s="112"/>
      <c r="U121" s="112"/>
      <c r="V121" s="107">
        <f>SUMIF('Наставни ансамбл'!J14:J368,"Далиборка Јанковић",'Наставни ансамбл'!H14:H368)</f>
        <v>0</v>
      </c>
      <c r="W121" s="105"/>
      <c r="X121" s="84">
        <f t="shared" si="18"/>
        <v>0</v>
      </c>
      <c r="Y121" s="89">
        <f t="shared" si="17"/>
        <v>0</v>
      </c>
      <c r="Z121" s="591">
        <f>(X121+X122)/2</f>
        <v>0</v>
      </c>
      <c r="AA121" s="592">
        <f>Z121/10*100</f>
        <v>0</v>
      </c>
      <c r="AB121" s="556" t="s">
        <v>254</v>
      </c>
      <c r="AC121" s="556">
        <f>IF(Z121&gt;D121,Z121-D121,0)</f>
        <v>0</v>
      </c>
      <c r="AD121" s="560">
        <v>2</v>
      </c>
      <c r="AE121" s="585">
        <v>2</v>
      </c>
    </row>
    <row r="122" spans="1:31" s="1" customFormat="1" ht="15" customHeight="1" x14ac:dyDescent="0.25">
      <c r="A122" s="553"/>
      <c r="B122" s="581"/>
      <c r="C122" s="90" t="s">
        <v>238</v>
      </c>
      <c r="D122" s="91">
        <v>3</v>
      </c>
      <c r="E122" s="131"/>
      <c r="F122" s="131"/>
      <c r="G122" s="131"/>
      <c r="H122" s="131"/>
      <c r="I122" s="131"/>
      <c r="J122" s="131"/>
      <c r="K122" s="131"/>
      <c r="L122" s="131"/>
      <c r="M122" s="86">
        <f>SUMIF('Наставни ансамбл'!J378:J759,"Далиборка Јанковић",'Наставни ансамбл'!G378:G759)</f>
        <v>0</v>
      </c>
      <c r="N122" s="131"/>
      <c r="O122" s="86"/>
      <c r="P122" s="86"/>
      <c r="Q122" s="86"/>
      <c r="R122" s="86"/>
      <c r="S122" s="86"/>
      <c r="T122" s="86"/>
      <c r="U122" s="86"/>
      <c r="V122" s="88">
        <f>SUMIF('Наставни ансамбл'!J378:J759,"Далиборка Јанковић",'Наставни ансамбл'!H378:H759)</f>
        <v>0</v>
      </c>
      <c r="W122" s="131"/>
      <c r="X122" s="129">
        <f t="shared" si="18"/>
        <v>0</v>
      </c>
      <c r="Y122" s="132">
        <f t="shared" si="17"/>
        <v>0</v>
      </c>
      <c r="Z122" s="557"/>
      <c r="AA122" s="559"/>
      <c r="AB122" s="557"/>
      <c r="AC122" s="557"/>
      <c r="AD122" s="553"/>
      <c r="AE122" s="553"/>
    </row>
    <row r="123" spans="1:31" s="1" customFormat="1" x14ac:dyDescent="0.25">
      <c r="A123" s="552">
        <v>5</v>
      </c>
      <c r="B123" s="554" t="s">
        <v>393</v>
      </c>
      <c r="C123" s="141" t="s">
        <v>237</v>
      </c>
      <c r="D123" s="130">
        <v>5</v>
      </c>
      <c r="E123" s="142"/>
      <c r="F123" s="142"/>
      <c r="G123" s="142"/>
      <c r="H123" s="142"/>
      <c r="I123" s="142"/>
      <c r="J123" s="142"/>
      <c r="K123" s="142"/>
      <c r="L123" s="142"/>
      <c r="M123" s="86">
        <f>SUMIF('Наставни ансамбл'!J14:J368,"Јелена Тракиловић",'Наставни ансамбл'!G14:G368)</f>
        <v>10</v>
      </c>
      <c r="N123" s="142"/>
      <c r="O123" s="112"/>
      <c r="P123" s="112"/>
      <c r="Q123" s="112"/>
      <c r="R123" s="112"/>
      <c r="S123" s="112"/>
      <c r="T123" s="112"/>
      <c r="U123" s="112"/>
      <c r="V123" s="107">
        <f>SUMIF('Наставни ансамбл'!J14:J368,"Јелена Тракиловић",'Наставни ансамбл'!H14:H368)</f>
        <v>14</v>
      </c>
      <c r="W123" s="142"/>
      <c r="X123" s="84">
        <f t="shared" si="18"/>
        <v>18.399999999999999</v>
      </c>
      <c r="Y123" s="89">
        <f t="shared" si="17"/>
        <v>368</v>
      </c>
      <c r="Z123" s="556">
        <f>(X123+X124)/2</f>
        <v>12.6</v>
      </c>
      <c r="AA123" s="558">
        <f>Z123/D123*100</f>
        <v>252</v>
      </c>
      <c r="AB123" s="252"/>
      <c r="AC123" s="252"/>
      <c r="AD123" s="560">
        <v>2</v>
      </c>
      <c r="AE123" s="552">
        <v>0</v>
      </c>
    </row>
    <row r="124" spans="1:31" s="1" customFormat="1" x14ac:dyDescent="0.25">
      <c r="A124" s="583"/>
      <c r="B124" s="584"/>
      <c r="C124" s="90" t="s">
        <v>238</v>
      </c>
      <c r="D124" s="91">
        <v>5</v>
      </c>
      <c r="E124" s="111"/>
      <c r="F124" s="111"/>
      <c r="G124" s="111"/>
      <c r="H124" s="111"/>
      <c r="I124" s="111"/>
      <c r="J124" s="111"/>
      <c r="K124" s="111"/>
      <c r="L124" s="111"/>
      <c r="M124" s="86">
        <f>SUMIF('Наставни ансамбл'!J378:J759,"Јелена Тракиловић",'Наставни ансамбл'!G378:G759)</f>
        <v>5</v>
      </c>
      <c r="N124" s="111"/>
      <c r="O124" s="112"/>
      <c r="P124" s="112"/>
      <c r="Q124" s="112"/>
      <c r="R124" s="112"/>
      <c r="S124" s="112"/>
      <c r="T124" s="112"/>
      <c r="U124" s="112"/>
      <c r="V124" s="107">
        <f>SUMIF('Наставни ансамбл'!J378:J759,"Јелена Тракиловић",'Наставни ансамбл'!H378:H759)</f>
        <v>3</v>
      </c>
      <c r="W124" s="111"/>
      <c r="X124" s="129">
        <f t="shared" si="18"/>
        <v>6.8</v>
      </c>
      <c r="Y124" s="132">
        <f t="shared" si="17"/>
        <v>136</v>
      </c>
      <c r="Z124" s="557"/>
      <c r="AA124" s="559"/>
      <c r="AB124" s="253"/>
      <c r="AC124" s="253"/>
      <c r="AD124" s="553"/>
      <c r="AE124" s="583"/>
    </row>
    <row r="125" spans="1:31" s="1" customFormat="1" ht="15" customHeight="1" x14ac:dyDescent="0.25">
      <c r="A125" s="261"/>
      <c r="B125" s="605" t="s">
        <v>251</v>
      </c>
      <c r="C125" s="606" t="s">
        <v>237</v>
      </c>
      <c r="D125" s="606"/>
      <c r="E125" s="260"/>
      <c r="F125" s="260"/>
      <c r="G125" s="260"/>
      <c r="H125" s="260"/>
      <c r="I125" s="260"/>
      <c r="J125" s="260"/>
      <c r="K125" s="260"/>
      <c r="L125" s="260"/>
      <c r="M125" s="260">
        <f>SUM(M115,M117,M119,M121,M123)</f>
        <v>16</v>
      </c>
      <c r="N125" s="257"/>
      <c r="O125" s="257"/>
      <c r="P125" s="257"/>
      <c r="Q125" s="257"/>
      <c r="R125" s="257"/>
      <c r="S125" s="257"/>
      <c r="T125" s="257"/>
      <c r="U125" s="257"/>
      <c r="V125" s="257">
        <f>SUM(V115,V117,V119,V121,V123)</f>
        <v>16</v>
      </c>
      <c r="W125" s="257"/>
      <c r="X125" s="257">
        <f>SUM(X115,X117,X119,X121,X123)</f>
        <v>33</v>
      </c>
      <c r="Y125" s="93"/>
      <c r="Z125" s="607">
        <f>SUM(Z115:Z124)</f>
        <v>29.800000000000004</v>
      </c>
      <c r="AA125" s="104"/>
      <c r="AB125" s="110"/>
      <c r="AC125" s="110"/>
      <c r="AD125" s="100"/>
      <c r="AE125" s="100"/>
    </row>
    <row r="126" spans="1:31" s="1" customFormat="1" x14ac:dyDescent="0.25">
      <c r="A126" s="261"/>
      <c r="B126" s="605"/>
      <c r="C126" s="608" t="s">
        <v>238</v>
      </c>
      <c r="D126" s="608"/>
      <c r="E126" s="257"/>
      <c r="F126" s="257"/>
      <c r="G126" s="257"/>
      <c r="H126" s="257"/>
      <c r="I126" s="257"/>
      <c r="J126" s="257"/>
      <c r="K126" s="257"/>
      <c r="L126" s="257"/>
      <c r="M126" s="257">
        <f>SUM(M116,M118,M120,M122,M124)</f>
        <v>19</v>
      </c>
      <c r="N126" s="257"/>
      <c r="O126" s="257"/>
      <c r="P126" s="257"/>
      <c r="Q126" s="257"/>
      <c r="R126" s="257"/>
      <c r="S126" s="257"/>
      <c r="T126" s="257"/>
      <c r="U126" s="257"/>
      <c r="V126" s="257">
        <f>SUM(V116,V118,V120,V122,V124)</f>
        <v>10</v>
      </c>
      <c r="W126" s="257"/>
      <c r="X126" s="257">
        <f>SUM(X116,X118,X120,X122,X124)</f>
        <v>26.6</v>
      </c>
      <c r="Y126" s="93"/>
      <c r="Z126" s="607"/>
      <c r="AA126" s="104"/>
      <c r="AB126" s="104"/>
      <c r="AC126" s="104"/>
      <c r="AD126" s="100"/>
      <c r="AE126" s="100"/>
    </row>
    <row r="127" spans="1:31" s="1" customFormat="1" ht="8.25" customHeight="1" x14ac:dyDescent="0.25">
      <c r="A127" s="100"/>
      <c r="B127" s="98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77"/>
      <c r="Y127" s="103"/>
      <c r="Z127" s="100"/>
      <c r="AA127" s="104"/>
      <c r="AB127" s="104"/>
      <c r="AC127" s="104"/>
      <c r="AD127" s="100"/>
      <c r="AE127" s="100"/>
    </row>
    <row r="128" spans="1:31" s="1" customFormat="1" x14ac:dyDescent="0.25">
      <c r="A128" s="76" t="s">
        <v>256</v>
      </c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X128" s="77"/>
      <c r="Y128" s="77"/>
      <c r="AD128" s="100"/>
      <c r="AE128" s="100"/>
    </row>
    <row r="129" spans="1:31" s="1" customFormat="1" ht="14.25" customHeight="1" x14ac:dyDescent="0.25"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X129" s="77"/>
      <c r="Y129" s="77"/>
      <c r="AD129" s="100"/>
      <c r="AE129" s="100"/>
    </row>
    <row r="130" spans="1:31" s="1" customFormat="1" x14ac:dyDescent="0.25">
      <c r="A130" s="570" t="s">
        <v>213</v>
      </c>
      <c r="B130" s="570" t="s">
        <v>214</v>
      </c>
      <c r="C130" s="571" t="s">
        <v>215</v>
      </c>
      <c r="D130" s="573" t="s">
        <v>216</v>
      </c>
      <c r="E130" s="258"/>
      <c r="F130" s="258"/>
      <c r="G130" s="258"/>
      <c r="H130" s="258"/>
      <c r="I130" s="258"/>
      <c r="J130" s="258"/>
      <c r="K130" s="258"/>
      <c r="L130" s="258"/>
      <c r="M130" s="258"/>
      <c r="N130" s="548"/>
      <c r="O130" s="255"/>
      <c r="P130" s="255"/>
      <c r="Q130" s="255"/>
      <c r="R130" s="255"/>
      <c r="S130" s="255"/>
      <c r="T130" s="255"/>
      <c r="U130" s="255"/>
      <c r="V130" s="255"/>
      <c r="W130" s="548"/>
      <c r="X130" s="564"/>
      <c r="Y130" s="566"/>
      <c r="Z130" s="564"/>
      <c r="AA130" s="566"/>
      <c r="AB130" s="548" t="s">
        <v>225</v>
      </c>
      <c r="AC130" s="548" t="s">
        <v>226</v>
      </c>
      <c r="AD130" s="550"/>
      <c r="AE130" s="551"/>
    </row>
    <row r="131" spans="1:31" s="1" customFormat="1" x14ac:dyDescent="0.25">
      <c r="A131" s="570"/>
      <c r="B131" s="570"/>
      <c r="C131" s="572"/>
      <c r="D131" s="573"/>
      <c r="E131" s="259"/>
      <c r="F131" s="259"/>
      <c r="G131" s="259"/>
      <c r="H131" s="259"/>
      <c r="I131" s="259"/>
      <c r="J131" s="259"/>
      <c r="K131" s="259"/>
      <c r="L131" s="259"/>
      <c r="M131" s="259"/>
      <c r="N131" s="549"/>
      <c r="O131" s="256"/>
      <c r="P131" s="256"/>
      <c r="Q131" s="256"/>
      <c r="R131" s="256"/>
      <c r="S131" s="256"/>
      <c r="T131" s="256"/>
      <c r="U131" s="256"/>
      <c r="V131" s="256"/>
      <c r="W131" s="549"/>
      <c r="X131" s="565"/>
      <c r="Y131" s="567"/>
      <c r="Z131" s="565"/>
      <c r="AA131" s="567"/>
      <c r="AB131" s="549"/>
      <c r="AC131" s="549"/>
      <c r="AD131" s="78"/>
      <c r="AE131" s="78"/>
    </row>
    <row r="132" spans="1:31" s="1" customFormat="1" x14ac:dyDescent="0.25"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X132" s="77"/>
      <c r="Y132" s="77"/>
      <c r="AD132" s="100"/>
      <c r="AE132" s="100"/>
    </row>
    <row r="133" spans="1:31" s="1" customFormat="1" x14ac:dyDescent="0.25">
      <c r="A133" s="558">
        <v>1</v>
      </c>
      <c r="B133" s="609" t="s">
        <v>242</v>
      </c>
      <c r="C133" s="83" t="s">
        <v>237</v>
      </c>
      <c r="D133" s="84">
        <v>6</v>
      </c>
      <c r="E133" s="84"/>
      <c r="F133" s="84"/>
      <c r="G133" s="84"/>
      <c r="H133" s="84"/>
      <c r="I133" s="84"/>
      <c r="J133" s="84"/>
      <c r="K133" s="84"/>
      <c r="L133" s="84"/>
      <c r="M133" s="86">
        <f>SUMIF('Наставни ансамбл'!J14:J368,"Јелина Ђурковић",'Наставни ансамбл'!G14:G368)</f>
        <v>0</v>
      </c>
      <c r="N133" s="130"/>
      <c r="O133" s="86"/>
      <c r="P133" s="86"/>
      <c r="Q133" s="86"/>
      <c r="R133" s="86"/>
      <c r="S133" s="86"/>
      <c r="T133" s="86"/>
      <c r="U133" s="86"/>
      <c r="V133" s="88">
        <f>SUMIF('Наставни ансамбл'!J14:J368,"Јелина Ђурковић",'Наставни ансамбл'!H14:H368)</f>
        <v>0</v>
      </c>
      <c r="W133" s="84"/>
      <c r="X133" s="84">
        <f t="shared" ref="X133:X160" si="19">M133+(V133*0.6)</f>
        <v>0</v>
      </c>
      <c r="Y133" s="89">
        <f t="shared" ref="Y133:Y160" si="20">X133/D133*100</f>
        <v>0</v>
      </c>
      <c r="Z133" s="556">
        <f>(X133+X134)/2</f>
        <v>0</v>
      </c>
      <c r="AA133" s="558">
        <f>Z133/D133*100</f>
        <v>0</v>
      </c>
      <c r="AB133" s="556" t="s">
        <v>254</v>
      </c>
      <c r="AC133" s="556" t="s">
        <v>254</v>
      </c>
      <c r="AD133" s="552">
        <v>4</v>
      </c>
      <c r="AE133" s="552">
        <v>3</v>
      </c>
    </row>
    <row r="134" spans="1:31" s="1" customFormat="1" x14ac:dyDescent="0.25">
      <c r="A134" s="559"/>
      <c r="B134" s="610"/>
      <c r="C134" s="90" t="s">
        <v>238</v>
      </c>
      <c r="D134" s="91">
        <v>6</v>
      </c>
      <c r="E134" s="140"/>
      <c r="F134" s="140"/>
      <c r="G134" s="140"/>
      <c r="H134" s="140"/>
      <c r="I134" s="140"/>
      <c r="J134" s="140"/>
      <c r="K134" s="140"/>
      <c r="L134" s="140"/>
      <c r="M134" s="86">
        <f>SUMIF('Наставни ансамбл'!J378:J759,"Јелина Ђурковић",'Наставни ансамбл'!G378:G759)</f>
        <v>0</v>
      </c>
      <c r="N134" s="111"/>
      <c r="O134" s="112"/>
      <c r="P134" s="112"/>
      <c r="Q134" s="112"/>
      <c r="R134" s="112"/>
      <c r="S134" s="112"/>
      <c r="T134" s="112"/>
      <c r="U134" s="112"/>
      <c r="V134" s="107">
        <f>SUMIF('Наставни ансамбл'!J378:J759,"Јелина Ђурковић",'Наставни ансамбл'!H378:H759)</f>
        <v>0</v>
      </c>
      <c r="W134" s="140"/>
      <c r="X134" s="91">
        <f t="shared" si="19"/>
        <v>0</v>
      </c>
      <c r="Y134" s="93">
        <f t="shared" si="20"/>
        <v>0</v>
      </c>
      <c r="Z134" s="557"/>
      <c r="AA134" s="559"/>
      <c r="AB134" s="557"/>
      <c r="AC134" s="557"/>
      <c r="AD134" s="553"/>
      <c r="AE134" s="553"/>
    </row>
    <row r="135" spans="1:31" s="1" customFormat="1" x14ac:dyDescent="0.25">
      <c r="A135" s="558">
        <v>2</v>
      </c>
      <c r="B135" s="580" t="s">
        <v>282</v>
      </c>
      <c r="C135" s="83" t="s">
        <v>237</v>
      </c>
      <c r="D135" s="84">
        <v>6</v>
      </c>
      <c r="E135" s="84"/>
      <c r="F135" s="84"/>
      <c r="G135" s="84"/>
      <c r="H135" s="84"/>
      <c r="I135" s="84"/>
      <c r="J135" s="84"/>
      <c r="K135" s="84"/>
      <c r="L135" s="84"/>
      <c r="M135" s="86">
        <f>SUMIF('Наставни ансамбл'!J14:J368,"Вељко Брборић",'Наставни ансамбл'!G14:G368)</f>
        <v>8</v>
      </c>
      <c r="N135" s="105"/>
      <c r="O135" s="112"/>
      <c r="P135" s="112"/>
      <c r="Q135" s="112"/>
      <c r="R135" s="112"/>
      <c r="S135" s="112"/>
      <c r="T135" s="112"/>
      <c r="U135" s="112"/>
      <c r="V135" s="107">
        <f>SUMIF('Наставни ансамбл'!J14:J368,"Вељко Брборић",'Наставни ансамбл'!H14:H368)</f>
        <v>0</v>
      </c>
      <c r="W135" s="84"/>
      <c r="X135" s="84">
        <f t="shared" si="19"/>
        <v>8</v>
      </c>
      <c r="Y135" s="89">
        <f t="shared" si="20"/>
        <v>133.33333333333331</v>
      </c>
      <c r="Z135" s="556">
        <f>(X135+X136)/2</f>
        <v>5</v>
      </c>
      <c r="AA135" s="558">
        <f>Z135/D135*100</f>
        <v>83.333333333333343</v>
      </c>
      <c r="AB135" s="556" t="s">
        <v>254</v>
      </c>
      <c r="AC135" s="556" t="s">
        <v>254</v>
      </c>
      <c r="AD135" s="552">
        <v>3</v>
      </c>
      <c r="AE135" s="552">
        <v>3</v>
      </c>
    </row>
    <row r="136" spans="1:31" s="1" customFormat="1" x14ac:dyDescent="0.25">
      <c r="A136" s="559"/>
      <c r="B136" s="581"/>
      <c r="C136" s="90" t="s">
        <v>238</v>
      </c>
      <c r="D136" s="91">
        <v>6</v>
      </c>
      <c r="E136" s="140"/>
      <c r="F136" s="140"/>
      <c r="G136" s="140"/>
      <c r="H136" s="140"/>
      <c r="I136" s="140"/>
      <c r="J136" s="140"/>
      <c r="K136" s="140"/>
      <c r="L136" s="140"/>
      <c r="M136" s="86">
        <f>SUMIF('Наставни ансамбл'!J378:J759,"Вељко Брборић",'Наставни ансамбл'!G378:G759)</f>
        <v>2</v>
      </c>
      <c r="N136" s="131"/>
      <c r="O136" s="86"/>
      <c r="P136" s="86"/>
      <c r="Q136" s="86"/>
      <c r="R136" s="86"/>
      <c r="S136" s="86"/>
      <c r="T136" s="86"/>
      <c r="U136" s="86"/>
      <c r="V136" s="88">
        <f>SUMIF('Наставни ансамбл'!J378:J759,"Вељко Брборић",'Наставни ансамбл'!H378:H759)</f>
        <v>0</v>
      </c>
      <c r="W136" s="140"/>
      <c r="X136" s="91">
        <f t="shared" si="19"/>
        <v>2</v>
      </c>
      <c r="Y136" s="93">
        <f t="shared" si="20"/>
        <v>33.333333333333329</v>
      </c>
      <c r="Z136" s="557"/>
      <c r="AA136" s="559"/>
      <c r="AB136" s="557"/>
      <c r="AC136" s="557"/>
      <c r="AD136" s="553"/>
      <c r="AE136" s="553"/>
    </row>
    <row r="137" spans="1:31" s="1" customFormat="1" x14ac:dyDescent="0.25">
      <c r="A137" s="558">
        <v>3</v>
      </c>
      <c r="B137" s="580" t="s">
        <v>257</v>
      </c>
      <c r="C137" s="83" t="s">
        <v>237</v>
      </c>
      <c r="D137" s="84">
        <v>6</v>
      </c>
      <c r="E137" s="84"/>
      <c r="F137" s="84"/>
      <c r="G137" s="84"/>
      <c r="H137" s="84"/>
      <c r="I137" s="84"/>
      <c r="J137" s="84"/>
      <c r="K137" s="84"/>
      <c r="L137" s="84"/>
      <c r="M137" s="86">
        <f>SUMIF('Наставни ансамбл'!J14:J368,"Драган Мартиновић",'Наставни ансамбл'!G14:G368)</f>
        <v>0</v>
      </c>
      <c r="N137" s="84"/>
      <c r="O137" s="86"/>
      <c r="P137" s="86"/>
      <c r="Q137" s="86"/>
      <c r="R137" s="86"/>
      <c r="S137" s="86"/>
      <c r="T137" s="86"/>
      <c r="U137" s="86"/>
      <c r="V137" s="88">
        <f>SUMIF('Наставни ансамбл'!J14:J368,"Драган Мартиновић",'Наставни ансамбл'!H14:H368)</f>
        <v>0</v>
      </c>
      <c r="W137" s="84"/>
      <c r="X137" s="84">
        <f t="shared" si="19"/>
        <v>0</v>
      </c>
      <c r="Y137" s="89">
        <f t="shared" si="20"/>
        <v>0</v>
      </c>
      <c r="Z137" s="556">
        <f>(X137+X138)/2</f>
        <v>0</v>
      </c>
      <c r="AA137" s="558">
        <f>Z137/D137*100</f>
        <v>0</v>
      </c>
      <c r="AB137" s="556" t="s">
        <v>254</v>
      </c>
      <c r="AC137" s="556" t="s">
        <v>254</v>
      </c>
      <c r="AD137" s="552">
        <v>1</v>
      </c>
      <c r="AE137" s="552">
        <v>1</v>
      </c>
    </row>
    <row r="138" spans="1:31" s="1" customFormat="1" x14ac:dyDescent="0.25">
      <c r="A138" s="559"/>
      <c r="B138" s="581"/>
      <c r="C138" s="90" t="s">
        <v>238</v>
      </c>
      <c r="D138" s="91">
        <v>6</v>
      </c>
      <c r="E138" s="140"/>
      <c r="F138" s="140"/>
      <c r="G138" s="140"/>
      <c r="H138" s="140"/>
      <c r="I138" s="140"/>
      <c r="J138" s="140"/>
      <c r="K138" s="140"/>
      <c r="L138" s="140"/>
      <c r="M138" s="86">
        <f>SUMIF('Наставни ансамбл'!J378:J759,"Драган Мартиновић",'Наставни ансамбл'!G378:G759)</f>
        <v>0</v>
      </c>
      <c r="N138" s="140"/>
      <c r="O138" s="86"/>
      <c r="P138" s="86"/>
      <c r="Q138" s="86"/>
      <c r="R138" s="86"/>
      <c r="S138" s="86"/>
      <c r="T138" s="86"/>
      <c r="U138" s="86"/>
      <c r="V138" s="88">
        <f>SUMIF('Наставни ансамбл'!J378:J759,"Драган Мартиновић",'Наставни ансамбл'!H378:H759)</f>
        <v>0</v>
      </c>
      <c r="W138" s="140"/>
      <c r="X138" s="91">
        <f t="shared" si="19"/>
        <v>0</v>
      </c>
      <c r="Y138" s="93">
        <f t="shared" si="20"/>
        <v>0</v>
      </c>
      <c r="Z138" s="557"/>
      <c r="AA138" s="559"/>
      <c r="AB138" s="557"/>
      <c r="AC138" s="557"/>
      <c r="AD138" s="553"/>
      <c r="AE138" s="553"/>
    </row>
    <row r="139" spans="1:31" s="1" customFormat="1" ht="15" hidden="1" customHeight="1" x14ac:dyDescent="0.25">
      <c r="A139" s="624">
        <v>3</v>
      </c>
      <c r="B139" s="580" t="s">
        <v>240</v>
      </c>
      <c r="C139" s="83" t="s">
        <v>237</v>
      </c>
      <c r="D139" s="84">
        <v>6</v>
      </c>
      <c r="E139" s="139"/>
      <c r="F139" s="139"/>
      <c r="G139" s="139"/>
      <c r="H139" s="139"/>
      <c r="I139" s="139"/>
      <c r="J139" s="139"/>
      <c r="K139" s="139"/>
      <c r="L139" s="139"/>
      <c r="M139" s="86">
        <f>SUMIF('Наставни ансамбл'!J53:J405,"Владо Медаковић",'Наставни ансамбл'!G53:G405)</f>
        <v>0</v>
      </c>
      <c r="N139" s="105"/>
      <c r="O139" s="112"/>
      <c r="P139" s="112"/>
      <c r="Q139" s="112"/>
      <c r="R139" s="112"/>
      <c r="S139" s="112"/>
      <c r="T139" s="112"/>
      <c r="U139" s="112"/>
      <c r="V139" s="107">
        <f>SUMIF('Наставни ансамбл'!J53:J405,"Владо Медаковић",'Наставни ансамбл'!H53:H405)</f>
        <v>0</v>
      </c>
      <c r="W139" s="139"/>
      <c r="X139" s="84">
        <f t="shared" si="19"/>
        <v>0</v>
      </c>
      <c r="Y139" s="89">
        <f t="shared" si="20"/>
        <v>0</v>
      </c>
      <c r="Z139" s="556">
        <f>(X139+X140)/2</f>
        <v>1</v>
      </c>
      <c r="AA139" s="558">
        <f>Z139/D139*100</f>
        <v>16.666666666666664</v>
      </c>
      <c r="AB139" s="556">
        <f>IF(Z139&lt;=D139,Z139,D139)</f>
        <v>1</v>
      </c>
      <c r="AC139" s="556">
        <f>IF(Z139&gt;D139,Z139-D139,0)</f>
        <v>0</v>
      </c>
      <c r="AD139" s="560">
        <v>3</v>
      </c>
      <c r="AE139" s="560">
        <v>2</v>
      </c>
    </row>
    <row r="140" spans="1:31" s="1" customFormat="1" hidden="1" x14ac:dyDescent="0.25">
      <c r="A140" s="625"/>
      <c r="B140" s="581"/>
      <c r="C140" s="90" t="s">
        <v>238</v>
      </c>
      <c r="D140" s="91">
        <v>6</v>
      </c>
      <c r="E140" s="140"/>
      <c r="F140" s="140"/>
      <c r="G140" s="140"/>
      <c r="H140" s="140"/>
      <c r="I140" s="140"/>
      <c r="J140" s="140"/>
      <c r="K140" s="140"/>
      <c r="L140" s="140"/>
      <c r="M140" s="86">
        <f>SUMIF('Наставни ансамбл'!J415:J797,"Владо Медаковић",'Наставни ансамбл'!G415:G797)</f>
        <v>2</v>
      </c>
      <c r="N140" s="131"/>
      <c r="O140" s="86"/>
      <c r="P140" s="86"/>
      <c r="Q140" s="86"/>
      <c r="R140" s="86"/>
      <c r="S140" s="86"/>
      <c r="T140" s="86"/>
      <c r="U140" s="86"/>
      <c r="V140" s="88">
        <f>SUMIF('Наставни ансамбл'!J415:J797,"Владо Медаковић",'Наставни ансамбл'!H415:H797)</f>
        <v>0</v>
      </c>
      <c r="W140" s="140"/>
      <c r="X140" s="91">
        <f t="shared" si="19"/>
        <v>2</v>
      </c>
      <c r="Y140" s="93">
        <f t="shared" si="20"/>
        <v>33.333333333333329</v>
      </c>
      <c r="Z140" s="557"/>
      <c r="AA140" s="559"/>
      <c r="AB140" s="557"/>
      <c r="AC140" s="557"/>
      <c r="AD140" s="553"/>
      <c r="AE140" s="553"/>
    </row>
    <row r="141" spans="1:31" s="1" customFormat="1" hidden="1" x14ac:dyDescent="0.25">
      <c r="A141" s="558">
        <v>3</v>
      </c>
      <c r="B141" s="580" t="s">
        <v>241</v>
      </c>
      <c r="C141" s="83" t="s">
        <v>237</v>
      </c>
      <c r="D141" s="84">
        <v>6</v>
      </c>
      <c r="E141" s="139"/>
      <c r="F141" s="139"/>
      <c r="G141" s="139"/>
      <c r="H141" s="139"/>
      <c r="I141" s="139"/>
      <c r="J141" s="139"/>
      <c r="K141" s="139"/>
      <c r="L141" s="203">
        <v>2</v>
      </c>
      <c r="M141" s="86">
        <f>SUMIF('Наставни ансамбл'!J53:J405,"Владо Медаковић",'Наставни ансамбл'!G53:G405)</f>
        <v>0</v>
      </c>
      <c r="N141" s="142"/>
      <c r="O141" s="112"/>
      <c r="P141" s="112"/>
      <c r="Q141" s="112"/>
      <c r="R141" s="112"/>
      <c r="S141" s="112"/>
      <c r="T141" s="112"/>
      <c r="U141" s="112"/>
      <c r="V141" s="107">
        <f>SUMIF('Наставни ансамбл'!J53:J405,"Владо Медаковић",'Наставни ансамбл'!H53:H405)</f>
        <v>0</v>
      </c>
      <c r="W141" s="139"/>
      <c r="X141" s="84">
        <f t="shared" si="19"/>
        <v>0</v>
      </c>
      <c r="Y141" s="89">
        <f t="shared" si="20"/>
        <v>0</v>
      </c>
      <c r="Z141" s="556">
        <f>(X141+X142)/2</f>
        <v>1</v>
      </c>
      <c r="AA141" s="558">
        <f>Z141/D141*100</f>
        <v>16.666666666666664</v>
      </c>
      <c r="AB141" s="556">
        <f>IF(Z141&lt;=D141,Z141,D141)</f>
        <v>1</v>
      </c>
      <c r="AC141" s="556">
        <f>IF(Z141&gt;D141,Z141-D141,0)</f>
        <v>0</v>
      </c>
      <c r="AD141" s="560">
        <v>3</v>
      </c>
      <c r="AE141" s="560">
        <v>2</v>
      </c>
    </row>
    <row r="142" spans="1:31" s="1" customFormat="1" hidden="1" x14ac:dyDescent="0.25">
      <c r="A142" s="559"/>
      <c r="B142" s="581"/>
      <c r="C142" s="90" t="s">
        <v>238</v>
      </c>
      <c r="D142" s="91">
        <v>6</v>
      </c>
      <c r="E142" s="140"/>
      <c r="F142" s="140"/>
      <c r="G142" s="140"/>
      <c r="H142" s="140"/>
      <c r="I142" s="140"/>
      <c r="J142" s="140"/>
      <c r="K142" s="140"/>
      <c r="L142" s="140"/>
      <c r="M142" s="86">
        <f>SUMIF('Наставни ансамбл'!J415:J797,"Владо Медаковић",'Наставни ансамбл'!G415:G797)</f>
        <v>2</v>
      </c>
      <c r="N142" s="111"/>
      <c r="O142" s="112"/>
      <c r="P142" s="112"/>
      <c r="Q142" s="112"/>
      <c r="R142" s="112"/>
      <c r="S142" s="112"/>
      <c r="T142" s="112"/>
      <c r="U142" s="112"/>
      <c r="V142" s="107">
        <f>SUMIF('Наставни ансамбл'!J415:J797,"Владо Медаковић",'Наставни ансамбл'!H415:H797)</f>
        <v>0</v>
      </c>
      <c r="W142" s="140"/>
      <c r="X142" s="91">
        <f t="shared" si="19"/>
        <v>2</v>
      </c>
      <c r="Y142" s="93">
        <f t="shared" si="20"/>
        <v>33.333333333333329</v>
      </c>
      <c r="Z142" s="557"/>
      <c r="AA142" s="559"/>
      <c r="AB142" s="557"/>
      <c r="AC142" s="557"/>
      <c r="AD142" s="553"/>
      <c r="AE142" s="553"/>
    </row>
    <row r="143" spans="1:31" s="1" customFormat="1" x14ac:dyDescent="0.25">
      <c r="A143" s="624">
        <v>4</v>
      </c>
      <c r="B143" s="611" t="s">
        <v>40</v>
      </c>
      <c r="C143" s="83" t="s">
        <v>237</v>
      </c>
      <c r="D143" s="84">
        <v>6</v>
      </c>
      <c r="E143" s="139"/>
      <c r="F143" s="139"/>
      <c r="G143" s="139"/>
      <c r="H143" s="139"/>
      <c r="I143" s="139"/>
      <c r="J143" s="139"/>
      <c r="K143" s="139"/>
      <c r="L143" s="139"/>
      <c r="M143" s="86">
        <f>SUMIF('Наставни ансамбл'!J14:J368,"Данимир Мандић",'Наставни ансамбл'!G14:G368)</f>
        <v>6</v>
      </c>
      <c r="N143" s="130"/>
      <c r="O143" s="86"/>
      <c r="P143" s="86"/>
      <c r="Q143" s="86"/>
      <c r="R143" s="86"/>
      <c r="S143" s="86"/>
      <c r="T143" s="86"/>
      <c r="U143" s="86"/>
      <c r="V143" s="88">
        <f>SUMIF('Наставни ансамбл'!J14:J368,"Данимир Мандић",'Наставни ансамбл'!H14:H368)</f>
        <v>0</v>
      </c>
      <c r="W143" s="139"/>
      <c r="X143" s="84">
        <f t="shared" si="19"/>
        <v>6</v>
      </c>
      <c r="Y143" s="89">
        <f t="shared" si="20"/>
        <v>100</v>
      </c>
      <c r="Z143" s="556">
        <f>(X143+X144)/2</f>
        <v>9</v>
      </c>
      <c r="AA143" s="558">
        <f>Z143/D143*100</f>
        <v>150</v>
      </c>
      <c r="AB143" s="556">
        <f>IF(Z143&lt;=D143,Z143,D143)</f>
        <v>6</v>
      </c>
      <c r="AC143" s="556">
        <f>IF(Z143&gt;D143,Z143-D143,0)</f>
        <v>3</v>
      </c>
      <c r="AD143" s="560">
        <v>4</v>
      </c>
      <c r="AE143" s="560">
        <v>2</v>
      </c>
    </row>
    <row r="144" spans="1:31" s="1" customFormat="1" x14ac:dyDescent="0.25">
      <c r="A144" s="626"/>
      <c r="B144" s="581"/>
      <c r="C144" s="90" t="s">
        <v>238</v>
      </c>
      <c r="D144" s="91">
        <v>6</v>
      </c>
      <c r="E144" s="140"/>
      <c r="F144" s="140"/>
      <c r="G144" s="140"/>
      <c r="H144" s="140"/>
      <c r="I144" s="140"/>
      <c r="J144" s="140"/>
      <c r="K144" s="140"/>
      <c r="L144" s="140"/>
      <c r="M144" s="86">
        <f>SUMIF('Наставни ансамбл'!J378:J759,"Данимир Мандић",'Наставни ансамбл'!G378:G759)</f>
        <v>12</v>
      </c>
      <c r="N144" s="111"/>
      <c r="O144" s="112"/>
      <c r="P144" s="112"/>
      <c r="Q144" s="112"/>
      <c r="R144" s="112"/>
      <c r="S144" s="112"/>
      <c r="T144" s="112"/>
      <c r="U144" s="112"/>
      <c r="V144" s="107">
        <f>SUMIF('Наставни ансамбл'!J378:J759,"Данимир Мандић",'Наставни ансамбл'!H378:H759)</f>
        <v>0</v>
      </c>
      <c r="W144" s="140"/>
      <c r="X144" s="91">
        <f t="shared" si="19"/>
        <v>12</v>
      </c>
      <c r="Y144" s="93">
        <f t="shared" si="20"/>
        <v>200</v>
      </c>
      <c r="Z144" s="557"/>
      <c r="AA144" s="559"/>
      <c r="AB144" s="557"/>
      <c r="AC144" s="557"/>
      <c r="AD144" s="553"/>
      <c r="AE144" s="553"/>
    </row>
    <row r="145" spans="1:31" s="1" customFormat="1" x14ac:dyDescent="0.25">
      <c r="A145" s="627">
        <v>5</v>
      </c>
      <c r="B145" s="587" t="s">
        <v>299</v>
      </c>
      <c r="C145" s="83" t="s">
        <v>237</v>
      </c>
      <c r="D145" s="84">
        <v>6</v>
      </c>
      <c r="E145" s="130"/>
      <c r="F145" s="130"/>
      <c r="G145" s="130"/>
      <c r="H145" s="130"/>
      <c r="I145" s="130"/>
      <c r="J145" s="130"/>
      <c r="K145" s="130"/>
      <c r="L145" s="130"/>
      <c r="M145" s="86">
        <f>SUMIF('Наставни ансамбл'!J14:J368,"Радомир Кнежевић",'Наставни ансамбл'!G14:G368)</f>
        <v>0</v>
      </c>
      <c r="N145" s="105"/>
      <c r="O145" s="112"/>
      <c r="P145" s="112"/>
      <c r="Q145" s="112"/>
      <c r="R145" s="112"/>
      <c r="S145" s="112"/>
      <c r="T145" s="112"/>
      <c r="U145" s="112"/>
      <c r="V145" s="107">
        <f>SUMIF('Наставни ансамбл'!J14:J368,"Радомир Кнежевић",'Наставни ансамбл'!H14:H368)</f>
        <v>0</v>
      </c>
      <c r="W145" s="130"/>
      <c r="X145" s="130">
        <f t="shared" si="19"/>
        <v>0</v>
      </c>
      <c r="Y145" s="113">
        <f t="shared" si="20"/>
        <v>0</v>
      </c>
      <c r="Z145" s="556">
        <f>(X145+X146)/2</f>
        <v>0</v>
      </c>
      <c r="AA145" s="558">
        <f>Z145/D145*100</f>
        <v>0</v>
      </c>
      <c r="AB145" s="556">
        <f>IF(Z145&lt;=D145,Z145,D145)</f>
        <v>0</v>
      </c>
      <c r="AC145" s="556">
        <f>IF(Z145&gt;D145,Z145-D145,0)</f>
        <v>0</v>
      </c>
      <c r="AD145" s="560">
        <v>3</v>
      </c>
      <c r="AE145" s="560">
        <v>4</v>
      </c>
    </row>
    <row r="146" spans="1:31" s="1" customFormat="1" x14ac:dyDescent="0.25">
      <c r="A146" s="626"/>
      <c r="B146" s="615"/>
      <c r="C146" s="90" t="s">
        <v>238</v>
      </c>
      <c r="D146" s="91">
        <v>6</v>
      </c>
      <c r="E146" s="140"/>
      <c r="F146" s="140"/>
      <c r="G146" s="140"/>
      <c r="H146" s="140"/>
      <c r="I146" s="140"/>
      <c r="J146" s="140"/>
      <c r="K146" s="140"/>
      <c r="L146" s="140"/>
      <c r="M146" s="86">
        <f>SUMIF('Наставни ансамбл'!J378:J759,"Радомир Кнежевић",'Наставни ансамбл'!G378:G759)</f>
        <v>0</v>
      </c>
      <c r="N146" s="131"/>
      <c r="O146" s="86"/>
      <c r="P146" s="86"/>
      <c r="Q146" s="86"/>
      <c r="R146" s="86"/>
      <c r="S146" s="86"/>
      <c r="T146" s="86"/>
      <c r="U146" s="86"/>
      <c r="V146" s="88">
        <f>SUMIF('Наставни ансамбл'!J378:J759,"Радомир Кнежевић",'Наставни ансамбл'!H378:H759)</f>
        <v>0</v>
      </c>
      <c r="W146" s="140"/>
      <c r="X146" s="91">
        <f t="shared" si="19"/>
        <v>0</v>
      </c>
      <c r="Y146" s="93">
        <f t="shared" si="20"/>
        <v>0</v>
      </c>
      <c r="Z146" s="557"/>
      <c r="AA146" s="559"/>
      <c r="AB146" s="557"/>
      <c r="AC146" s="557"/>
      <c r="AD146" s="553"/>
      <c r="AE146" s="553"/>
    </row>
    <row r="147" spans="1:31" s="1" customFormat="1" x14ac:dyDescent="0.25">
      <c r="A147" s="558">
        <v>6</v>
      </c>
      <c r="B147" s="614" t="s">
        <v>537</v>
      </c>
      <c r="C147" s="83" t="s">
        <v>237</v>
      </c>
      <c r="D147" s="84">
        <v>6</v>
      </c>
      <c r="E147" s="142"/>
      <c r="F147" s="142"/>
      <c r="G147" s="142"/>
      <c r="H147" s="142"/>
      <c r="I147" s="142"/>
      <c r="J147" s="142"/>
      <c r="K147" s="142"/>
      <c r="L147" s="142"/>
      <c r="M147" s="86">
        <f>SUMIF('Наставни ансамбл'!J14:J368,"Драгана Ваљаревић",'Наставни ансамбл'!G14:G368)</f>
        <v>7</v>
      </c>
      <c r="N147" s="105"/>
      <c r="O147" s="112"/>
      <c r="P147" s="112"/>
      <c r="Q147" s="112"/>
      <c r="R147" s="112"/>
      <c r="S147" s="112"/>
      <c r="T147" s="112"/>
      <c r="U147" s="112"/>
      <c r="V147" s="107">
        <f>SUMIF('Наставни ансамбл'!J14:J368,"Драгана Ваљаревић",'Наставни ансамбл'!H14:H368)</f>
        <v>0</v>
      </c>
      <c r="W147" s="142"/>
      <c r="X147" s="130">
        <f t="shared" si="19"/>
        <v>7</v>
      </c>
      <c r="Y147" s="113">
        <f t="shared" si="20"/>
        <v>116.66666666666667</v>
      </c>
      <c r="Z147" s="556">
        <f>(X147+X148)/2</f>
        <v>5.5</v>
      </c>
      <c r="AA147" s="558">
        <f>Z147/D147*100</f>
        <v>91.666666666666657</v>
      </c>
      <c r="AB147" s="254">
        <f>IF(Z147&lt;=D147,Z147,D147)</f>
        <v>5.5</v>
      </c>
      <c r="AC147" s="254">
        <f>IF(Z147&gt;D147,Z147-D147,0)</f>
        <v>0</v>
      </c>
      <c r="AD147" s="560">
        <v>3</v>
      </c>
      <c r="AE147" s="552">
        <v>0</v>
      </c>
    </row>
    <row r="148" spans="1:31" s="1" customFormat="1" x14ac:dyDescent="0.25">
      <c r="A148" s="559"/>
      <c r="B148" s="615"/>
      <c r="C148" s="90" t="s">
        <v>238</v>
      </c>
      <c r="D148" s="91">
        <v>6</v>
      </c>
      <c r="E148" s="111"/>
      <c r="F148" s="111"/>
      <c r="G148" s="111"/>
      <c r="H148" s="111"/>
      <c r="I148" s="111"/>
      <c r="J148" s="111"/>
      <c r="K148" s="111"/>
      <c r="L148" s="111"/>
      <c r="M148" s="86">
        <f>SUMIF('Наставни ансамбл'!J378:J759,"Драгана Ваљаревић",'Наставни ансамбл'!G378:G759)</f>
        <v>4</v>
      </c>
      <c r="N148" s="131"/>
      <c r="O148" s="86"/>
      <c r="P148" s="86"/>
      <c r="Q148" s="86"/>
      <c r="R148" s="86"/>
      <c r="S148" s="86"/>
      <c r="T148" s="86"/>
      <c r="U148" s="86"/>
      <c r="V148" s="88">
        <f>SUMIF('Наставни ансамбл'!J378:J759,"Драгана Ваљаревић",'Наставни ансамбл'!H378:H759)</f>
        <v>0</v>
      </c>
      <c r="W148" s="111"/>
      <c r="X148" s="91">
        <f t="shared" si="19"/>
        <v>4</v>
      </c>
      <c r="Y148" s="93">
        <f t="shared" si="20"/>
        <v>66.666666666666657</v>
      </c>
      <c r="Z148" s="557"/>
      <c r="AA148" s="559"/>
      <c r="AB148" s="253"/>
      <c r="AC148" s="253"/>
      <c r="AD148" s="553"/>
      <c r="AE148" s="583"/>
    </row>
    <row r="149" spans="1:31" s="1" customFormat="1" x14ac:dyDescent="0.25">
      <c r="A149" s="558">
        <v>7</v>
      </c>
      <c r="B149" s="614" t="s">
        <v>411</v>
      </c>
      <c r="C149" s="83" t="s">
        <v>237</v>
      </c>
      <c r="D149" s="84">
        <v>6</v>
      </c>
      <c r="E149" s="142"/>
      <c r="F149" s="142"/>
      <c r="G149" s="142"/>
      <c r="H149" s="142"/>
      <c r="I149" s="142"/>
      <c r="J149" s="142"/>
      <c r="K149" s="142"/>
      <c r="L149" s="142"/>
      <c r="M149" s="86">
        <f>SUMIF('Наставни ансамбл'!J14:J368,"Небојша Ралевић",'Наставни ансамбл'!G14:G368)</f>
        <v>6</v>
      </c>
      <c r="N149" s="142"/>
      <c r="O149" s="112"/>
      <c r="P149" s="112"/>
      <c r="Q149" s="112"/>
      <c r="R149" s="112"/>
      <c r="S149" s="112"/>
      <c r="T149" s="112"/>
      <c r="U149" s="112"/>
      <c r="V149" s="107">
        <f>SUMIF('Наставни ансамбл'!J14:J368,"Небојша Ралевић",'Наставни ансамбл'!H14:H368)</f>
        <v>0</v>
      </c>
      <c r="W149" s="142"/>
      <c r="X149" s="130">
        <f t="shared" si="19"/>
        <v>6</v>
      </c>
      <c r="Y149" s="113">
        <f t="shared" si="20"/>
        <v>100</v>
      </c>
      <c r="Z149" s="556">
        <f>(X149+X150)/2</f>
        <v>6</v>
      </c>
      <c r="AA149" s="558">
        <f>Z149/D149*100</f>
        <v>100</v>
      </c>
      <c r="AB149" s="254">
        <f>IF(Z149&lt;=D149,Z149,D149)</f>
        <v>6</v>
      </c>
      <c r="AC149" s="254">
        <f>IF(Z149&gt;D149,Z149-D149,0)</f>
        <v>0</v>
      </c>
      <c r="AD149" s="560">
        <v>2</v>
      </c>
      <c r="AE149" s="552">
        <v>0</v>
      </c>
    </row>
    <row r="150" spans="1:31" s="1" customFormat="1" x14ac:dyDescent="0.25">
      <c r="A150" s="559">
        <v>5.8571428571428603</v>
      </c>
      <c r="B150" s="615"/>
      <c r="C150" s="90" t="s">
        <v>238</v>
      </c>
      <c r="D150" s="91">
        <v>6</v>
      </c>
      <c r="E150" s="111"/>
      <c r="F150" s="111"/>
      <c r="G150" s="111"/>
      <c r="H150" s="111"/>
      <c r="I150" s="111"/>
      <c r="J150" s="111"/>
      <c r="K150" s="111"/>
      <c r="L150" s="111"/>
      <c r="M150" s="86">
        <f>SUMIF('Наставни ансамбл'!J378:J759,"Небојша Ралевић",'Наставни ансамбл'!G378:G759)</f>
        <v>6</v>
      </c>
      <c r="N150" s="111"/>
      <c r="O150" s="112"/>
      <c r="P150" s="112"/>
      <c r="Q150" s="112"/>
      <c r="R150" s="112"/>
      <c r="S150" s="112"/>
      <c r="T150" s="112"/>
      <c r="U150" s="112"/>
      <c r="V150" s="107">
        <f>SUMIF('Наставни ансамбл'!J378:J759,"Небојша Ралевић",'Наставни ансамбл'!H378:H759)</f>
        <v>0</v>
      </c>
      <c r="W150" s="111"/>
      <c r="X150" s="91">
        <f t="shared" si="19"/>
        <v>6</v>
      </c>
      <c r="Y150" s="93">
        <f t="shared" si="20"/>
        <v>100</v>
      </c>
      <c r="Z150" s="557"/>
      <c r="AA150" s="559"/>
      <c r="AB150" s="253"/>
      <c r="AC150" s="253"/>
      <c r="AD150" s="553"/>
      <c r="AE150" s="583"/>
    </row>
    <row r="151" spans="1:31" s="1" customFormat="1" x14ac:dyDescent="0.25">
      <c r="A151" s="558">
        <v>8</v>
      </c>
      <c r="B151" s="614" t="s">
        <v>533</v>
      </c>
      <c r="C151" s="83" t="s">
        <v>237</v>
      </c>
      <c r="D151" s="84">
        <v>6</v>
      </c>
      <c r="E151" s="142"/>
      <c r="F151" s="142"/>
      <c r="G151" s="142"/>
      <c r="H151" s="142"/>
      <c r="I151" s="142"/>
      <c r="J151" s="142"/>
      <c r="K151" s="142"/>
      <c r="L151" s="142"/>
      <c r="M151" s="86">
        <f>SUMIF('Наставни ансамбл'!J14:J368,"Ацо Антић",'Наставни ансамбл'!G14:G368)</f>
        <v>2</v>
      </c>
      <c r="N151" s="130"/>
      <c r="O151" s="86"/>
      <c r="P151" s="86"/>
      <c r="Q151" s="86"/>
      <c r="R151" s="86"/>
      <c r="S151" s="86"/>
      <c r="T151" s="86"/>
      <c r="U151" s="86"/>
      <c r="V151" s="88">
        <f>SUMIF('Наставни ансамбл'!J14:J368,"Ацо Антић",'Наставни ансамбл'!H14:H368)</f>
        <v>2</v>
      </c>
      <c r="W151" s="142"/>
      <c r="X151" s="130">
        <f t="shared" si="19"/>
        <v>3.2</v>
      </c>
      <c r="Y151" s="113">
        <f t="shared" si="20"/>
        <v>53.333333333333336</v>
      </c>
      <c r="Z151" s="556">
        <f>(X151+X152)/2</f>
        <v>1.6</v>
      </c>
      <c r="AA151" s="558">
        <f>Z151/D151*100</f>
        <v>26.666666666666668</v>
      </c>
      <c r="AB151" s="254">
        <f>IF(Z151&lt;=D151,Z151,D151)</f>
        <v>1.6</v>
      </c>
      <c r="AC151" s="254">
        <f>IF(Z151&gt;D151,Z151-D151,0)</f>
        <v>0</v>
      </c>
      <c r="AD151" s="560">
        <v>2</v>
      </c>
      <c r="AE151" s="552">
        <v>0</v>
      </c>
    </row>
    <row r="152" spans="1:31" s="1" customFormat="1" x14ac:dyDescent="0.25">
      <c r="A152" s="559">
        <v>6.4285714285714297</v>
      </c>
      <c r="B152" s="615"/>
      <c r="C152" s="90" t="s">
        <v>238</v>
      </c>
      <c r="D152" s="91">
        <v>6</v>
      </c>
      <c r="E152" s="111"/>
      <c r="F152" s="111"/>
      <c r="G152" s="111"/>
      <c r="H152" s="111"/>
      <c r="I152" s="111"/>
      <c r="J152" s="111"/>
      <c r="K152" s="111"/>
      <c r="L152" s="111"/>
      <c r="M152" s="86">
        <f>SUMIF('Наставни ансамбл'!J378:J759,"Ацо Антић",'Наставни ансамбл'!G378:G759)</f>
        <v>0</v>
      </c>
      <c r="N152" s="111"/>
      <c r="O152" s="112"/>
      <c r="P152" s="112"/>
      <c r="Q152" s="112"/>
      <c r="R152" s="112"/>
      <c r="S152" s="112"/>
      <c r="T152" s="112"/>
      <c r="U152" s="112"/>
      <c r="V152" s="107">
        <f>SUMIF('Наставни ансамбл'!J378:J759,"Ацо Антић",'Наставни ансамбл'!H378:H759)</f>
        <v>0</v>
      </c>
      <c r="W152" s="111"/>
      <c r="X152" s="91">
        <f t="shared" si="19"/>
        <v>0</v>
      </c>
      <c r="Y152" s="93">
        <f t="shared" si="20"/>
        <v>0</v>
      </c>
      <c r="Z152" s="557"/>
      <c r="AA152" s="559"/>
      <c r="AB152" s="253"/>
      <c r="AC152" s="253"/>
      <c r="AD152" s="553"/>
      <c r="AE152" s="583"/>
    </row>
    <row r="153" spans="1:31" s="1" customFormat="1" x14ac:dyDescent="0.25">
      <c r="A153" s="624">
        <v>9</v>
      </c>
      <c r="B153" s="630" t="s">
        <v>534</v>
      </c>
      <c r="C153" s="83" t="s">
        <v>237</v>
      </c>
      <c r="D153" s="84">
        <v>6</v>
      </c>
      <c r="E153" s="142"/>
      <c r="F153" s="142"/>
      <c r="G153" s="142"/>
      <c r="H153" s="142"/>
      <c r="I153" s="142"/>
      <c r="J153" s="142"/>
      <c r="K153" s="142"/>
      <c r="L153" s="142"/>
      <c r="M153" s="86">
        <f>SUMIF('Наставни ансамбл'!J14:J368,"Љубо Недовић",'Наставни ансамбл'!G14:G368)</f>
        <v>4</v>
      </c>
      <c r="N153" s="105"/>
      <c r="O153" s="112"/>
      <c r="P153" s="112"/>
      <c r="Q153" s="112"/>
      <c r="R153" s="112"/>
      <c r="S153" s="112"/>
      <c r="T153" s="112"/>
      <c r="U153" s="112"/>
      <c r="V153" s="107">
        <f>SUMIF('Наставни ансамбл'!J14:J368,"Љубо Недовић",'Наставни ансамбл'!H14:H368)</f>
        <v>0</v>
      </c>
      <c r="W153" s="142"/>
      <c r="X153" s="130">
        <f t="shared" si="19"/>
        <v>4</v>
      </c>
      <c r="Y153" s="113">
        <f t="shared" si="20"/>
        <v>66.666666666666657</v>
      </c>
      <c r="Z153" s="556">
        <f>(X153+X154)/2</f>
        <v>2</v>
      </c>
      <c r="AA153" s="558">
        <f>Z153/D153*100</f>
        <v>33.333333333333329</v>
      </c>
      <c r="AB153" s="254">
        <f>IF(Z153&lt;=D153,Z153,D153)</f>
        <v>2</v>
      </c>
      <c r="AC153" s="254">
        <f>IF(Z153&gt;D153,Z153-D153,0)</f>
        <v>0</v>
      </c>
      <c r="AD153" s="560">
        <v>2</v>
      </c>
      <c r="AE153" s="552">
        <v>2</v>
      </c>
    </row>
    <row r="154" spans="1:31" s="1" customFormat="1" x14ac:dyDescent="0.25">
      <c r="A154" s="625">
        <v>7</v>
      </c>
      <c r="B154" s="631"/>
      <c r="C154" s="90" t="s">
        <v>238</v>
      </c>
      <c r="D154" s="91">
        <v>6</v>
      </c>
      <c r="E154" s="111"/>
      <c r="F154" s="111"/>
      <c r="G154" s="111"/>
      <c r="H154" s="111"/>
      <c r="I154" s="111"/>
      <c r="J154" s="111"/>
      <c r="K154" s="111"/>
      <c r="L154" s="111"/>
      <c r="M154" s="86">
        <f>SUMIF('Наставни ансамбл'!J378:J759,"Љубо Недовић",'Наставни ансамбл'!G378:G759)</f>
        <v>0</v>
      </c>
      <c r="N154" s="131"/>
      <c r="O154" s="86"/>
      <c r="P154" s="86"/>
      <c r="Q154" s="86"/>
      <c r="R154" s="86"/>
      <c r="S154" s="86"/>
      <c r="T154" s="86"/>
      <c r="U154" s="86"/>
      <c r="V154" s="88">
        <f>SUMIF('Наставни ансамбл'!J378:J759,"Љубо Недовић",'Наставни ансамбл'!H378:H759)</f>
        <v>0</v>
      </c>
      <c r="W154" s="111"/>
      <c r="X154" s="91">
        <f t="shared" si="19"/>
        <v>0</v>
      </c>
      <c r="Y154" s="93">
        <f t="shared" si="20"/>
        <v>0</v>
      </c>
      <c r="Z154" s="557"/>
      <c r="AA154" s="559"/>
      <c r="AB154" s="253"/>
      <c r="AC154" s="253"/>
      <c r="AD154" s="553"/>
      <c r="AE154" s="583"/>
    </row>
    <row r="155" spans="1:31" s="1" customFormat="1" x14ac:dyDescent="0.25">
      <c r="A155" s="558">
        <v>10</v>
      </c>
      <c r="B155" s="614" t="s">
        <v>535</v>
      </c>
      <c r="C155" s="83" t="s">
        <v>237</v>
      </c>
      <c r="D155" s="84">
        <v>6</v>
      </c>
      <c r="E155" s="142"/>
      <c r="F155" s="142"/>
      <c r="G155" s="142"/>
      <c r="H155" s="142"/>
      <c r="I155" s="142"/>
      <c r="J155" s="142"/>
      <c r="K155" s="142"/>
      <c r="L155" s="142"/>
      <c r="M155" s="86">
        <f>SUMIF('Наставни ансамбл'!J14:J368,"Владимир Илић",'Наставни ансамбл'!G14:G368)</f>
        <v>0</v>
      </c>
      <c r="N155" s="84"/>
      <c r="O155" s="86"/>
      <c r="P155" s="86"/>
      <c r="Q155" s="86"/>
      <c r="R155" s="86"/>
      <c r="S155" s="86"/>
      <c r="T155" s="86"/>
      <c r="U155" s="86"/>
      <c r="V155" s="88">
        <f>SUMIF('Наставни ансамбл'!J14:J368,"Владимир Илић",'Наставни ансамбл'!H14:H368)</f>
        <v>0</v>
      </c>
      <c r="W155" s="142"/>
      <c r="X155" s="130">
        <f t="shared" si="19"/>
        <v>0</v>
      </c>
      <c r="Y155" s="113">
        <f t="shared" ref="Y155:Y156" si="21">X155/D155*100</f>
        <v>0</v>
      </c>
      <c r="Z155" s="556">
        <f>(X155+X156)/2</f>
        <v>1</v>
      </c>
      <c r="AA155" s="558">
        <f>Z155/D155*100</f>
        <v>16.666666666666664</v>
      </c>
      <c r="AB155" s="254">
        <f>IF(Z155&lt;=D155,Z155,D155)</f>
        <v>1</v>
      </c>
      <c r="AC155" s="254">
        <f>IF(Z155&gt;D155,Z155-D155,0)</f>
        <v>0</v>
      </c>
      <c r="AD155" s="560">
        <v>3</v>
      </c>
      <c r="AE155" s="552">
        <v>0</v>
      </c>
    </row>
    <row r="156" spans="1:31" s="1" customFormat="1" x14ac:dyDescent="0.25">
      <c r="A156" s="559">
        <v>7.5714285714285801</v>
      </c>
      <c r="B156" s="615"/>
      <c r="C156" s="90" t="s">
        <v>238</v>
      </c>
      <c r="D156" s="91">
        <v>6</v>
      </c>
      <c r="E156" s="111"/>
      <c r="F156" s="111"/>
      <c r="G156" s="111"/>
      <c r="H156" s="111"/>
      <c r="I156" s="111"/>
      <c r="J156" s="111"/>
      <c r="K156" s="111"/>
      <c r="L156" s="111"/>
      <c r="M156" s="86">
        <f>SUMIF('Наставни ансамбл'!J378:J759,"Владимир Илић",'Наставни ансамбл'!G378:G759)</f>
        <v>2</v>
      </c>
      <c r="N156" s="140"/>
      <c r="O156" s="86"/>
      <c r="P156" s="86"/>
      <c r="Q156" s="86"/>
      <c r="R156" s="86"/>
      <c r="S156" s="86"/>
      <c r="T156" s="86"/>
      <c r="U156" s="86"/>
      <c r="V156" s="88">
        <f>SUMIF('Наставни ансамбл'!J378:J759,"Владимир Илић",'Наставни ансамбл'!H378:H759)</f>
        <v>0</v>
      </c>
      <c r="W156" s="111"/>
      <c r="X156" s="91">
        <f t="shared" si="19"/>
        <v>2</v>
      </c>
      <c r="Y156" s="93">
        <f t="shared" si="21"/>
        <v>33.333333333333329</v>
      </c>
      <c r="Z156" s="557"/>
      <c r="AA156" s="559"/>
      <c r="AB156" s="253"/>
      <c r="AC156" s="253"/>
      <c r="AD156" s="553"/>
      <c r="AE156" s="583"/>
    </row>
    <row r="157" spans="1:31" s="1" customFormat="1" x14ac:dyDescent="0.25">
      <c r="A157" s="624">
        <v>11</v>
      </c>
      <c r="B157" s="614" t="s">
        <v>536</v>
      </c>
      <c r="C157" s="83" t="s">
        <v>237</v>
      </c>
      <c r="D157" s="84">
        <v>6</v>
      </c>
      <c r="E157" s="142"/>
      <c r="F157" s="142"/>
      <c r="G157" s="142"/>
      <c r="H157" s="142"/>
      <c r="I157" s="142"/>
      <c r="J157" s="142"/>
      <c r="K157" s="142"/>
      <c r="L157" s="142"/>
      <c r="M157" s="86">
        <f>SUMIF('Наставни ансамбл'!J14:J368,"Срђан Попов",'Наставни ансамбл'!G14:G368)</f>
        <v>0</v>
      </c>
      <c r="N157" s="105"/>
      <c r="O157" s="112"/>
      <c r="P157" s="112"/>
      <c r="Q157" s="112"/>
      <c r="R157" s="112"/>
      <c r="S157" s="112"/>
      <c r="T157" s="112"/>
      <c r="U157" s="112"/>
      <c r="V157" s="107">
        <f>SUMIF('Наставни ансамбл'!J14:J368,"Срђан Попов",'Наставни ансамбл'!H14:H368)</f>
        <v>0</v>
      </c>
      <c r="W157" s="142"/>
      <c r="X157" s="130">
        <f t="shared" si="19"/>
        <v>0</v>
      </c>
      <c r="Y157" s="113">
        <f t="shared" ref="Y157:Y158" si="22">X157/D157*100</f>
        <v>0</v>
      </c>
      <c r="Z157" s="556">
        <f>(X157+X158)/2</f>
        <v>1.9</v>
      </c>
      <c r="AA157" s="558">
        <f>Z157/D157*100</f>
        <v>31.666666666666664</v>
      </c>
      <c r="AB157" s="254">
        <f>IF(Z157&lt;=D157,Z157,D157)</f>
        <v>1.9</v>
      </c>
      <c r="AC157" s="254">
        <f>IF(Z157&gt;D157,Z157-D157,0)</f>
        <v>0</v>
      </c>
      <c r="AD157" s="560">
        <v>3</v>
      </c>
      <c r="AE157" s="552">
        <v>0</v>
      </c>
    </row>
    <row r="158" spans="1:31" s="1" customFormat="1" x14ac:dyDescent="0.25">
      <c r="A158" s="626">
        <v>8.1428571428571495</v>
      </c>
      <c r="B158" s="615"/>
      <c r="C158" s="90" t="s">
        <v>238</v>
      </c>
      <c r="D158" s="91">
        <v>6</v>
      </c>
      <c r="E158" s="111"/>
      <c r="F158" s="111"/>
      <c r="G158" s="111"/>
      <c r="H158" s="111"/>
      <c r="I158" s="111"/>
      <c r="J158" s="111"/>
      <c r="K158" s="111"/>
      <c r="L158" s="111"/>
      <c r="M158" s="86">
        <f>SUMIF('Наставни ансамбл'!J378:J759,"Срђан Попов",'Наставни ансамбл'!G378:G759)</f>
        <v>2</v>
      </c>
      <c r="N158" s="131"/>
      <c r="O158" s="86"/>
      <c r="P158" s="86"/>
      <c r="Q158" s="86"/>
      <c r="R158" s="86"/>
      <c r="S158" s="86"/>
      <c r="T158" s="86"/>
      <c r="U158" s="86"/>
      <c r="V158" s="88">
        <f>SUMIF('Наставни ансамбл'!J378:J759,"Срђан Попов",'Наставни ансамбл'!H378:H759)</f>
        <v>3</v>
      </c>
      <c r="W158" s="111"/>
      <c r="X158" s="91">
        <f t="shared" si="19"/>
        <v>3.8</v>
      </c>
      <c r="Y158" s="93">
        <f t="shared" si="22"/>
        <v>63.333333333333329</v>
      </c>
      <c r="Z158" s="557"/>
      <c r="AA158" s="559"/>
      <c r="AB158" s="253"/>
      <c r="AC158" s="253"/>
      <c r="AD158" s="553"/>
      <c r="AE158" s="583"/>
    </row>
    <row r="159" spans="1:31" s="1" customFormat="1" x14ac:dyDescent="0.25">
      <c r="A159" s="627">
        <v>12</v>
      </c>
      <c r="B159" s="628" t="s">
        <v>381</v>
      </c>
      <c r="C159" s="83" t="s">
        <v>237</v>
      </c>
      <c r="D159" s="84">
        <v>6</v>
      </c>
      <c r="E159" s="142"/>
      <c r="F159" s="142"/>
      <c r="G159" s="142"/>
      <c r="H159" s="142"/>
      <c r="I159" s="142"/>
      <c r="J159" s="142"/>
      <c r="K159" s="142"/>
      <c r="L159" s="142"/>
      <c r="M159" s="86">
        <f>SUMIF('Наставни ансамбл'!J14:J368,"Александра Новаковић",'Наставни ансамбл'!G14:G368)</f>
        <v>4</v>
      </c>
      <c r="N159" s="142"/>
      <c r="O159" s="112"/>
      <c r="P159" s="112"/>
      <c r="Q159" s="112"/>
      <c r="R159" s="112"/>
      <c r="S159" s="112"/>
      <c r="T159" s="112"/>
      <c r="U159" s="112"/>
      <c r="V159" s="107">
        <f>SUMIF('Наставни ансамбл'!J14:J368,"Александра Новаковић",'Наставни ансамбл'!H14:H368)</f>
        <v>2</v>
      </c>
      <c r="W159" s="142"/>
      <c r="X159" s="130">
        <f t="shared" si="19"/>
        <v>5.2</v>
      </c>
      <c r="Y159" s="113">
        <f t="shared" si="20"/>
        <v>86.666666666666671</v>
      </c>
      <c r="Z159" s="556">
        <f>(X159+X160)/2</f>
        <v>8.1999999999999993</v>
      </c>
      <c r="AA159" s="558">
        <f>Z159/D159*100</f>
        <v>136.66666666666666</v>
      </c>
      <c r="AB159" s="254">
        <f>IF(Z159&lt;=D159,Z159,D159)</f>
        <v>6</v>
      </c>
      <c r="AC159" s="254">
        <f>IF(Z159&gt;D159,Z159-D159,0)</f>
        <v>2.1999999999999993</v>
      </c>
      <c r="AD159" s="560">
        <v>3</v>
      </c>
      <c r="AE159" s="552">
        <v>0</v>
      </c>
    </row>
    <row r="160" spans="1:31" s="1" customFormat="1" x14ac:dyDescent="0.25">
      <c r="A160" s="626"/>
      <c r="B160" s="629"/>
      <c r="C160" s="90" t="s">
        <v>238</v>
      </c>
      <c r="D160" s="91">
        <v>6</v>
      </c>
      <c r="E160" s="111"/>
      <c r="F160" s="111"/>
      <c r="G160" s="111"/>
      <c r="H160" s="111"/>
      <c r="I160" s="111"/>
      <c r="J160" s="111"/>
      <c r="K160" s="111"/>
      <c r="L160" s="111"/>
      <c r="M160" s="86">
        <f>SUMIF('Наставни ансамбл'!J378:J759,"Александра Новаковић",'Наставни ансамбл'!G378:G759)</f>
        <v>10</v>
      </c>
      <c r="N160" s="111"/>
      <c r="O160" s="112"/>
      <c r="P160" s="112"/>
      <c r="Q160" s="112"/>
      <c r="R160" s="112"/>
      <c r="S160" s="112"/>
      <c r="T160" s="112"/>
      <c r="U160" s="112"/>
      <c r="V160" s="107">
        <f>SUMIF('Наставни ансамбл'!J378:J759,"Александра Новаковић",'Наставни ансамбл'!H378:H759)</f>
        <v>2</v>
      </c>
      <c r="W160" s="111"/>
      <c r="X160" s="91">
        <f t="shared" si="19"/>
        <v>11.2</v>
      </c>
      <c r="Y160" s="93">
        <f t="shared" si="20"/>
        <v>186.66666666666666</v>
      </c>
      <c r="Z160" s="557"/>
      <c r="AA160" s="559"/>
      <c r="AB160" s="253"/>
      <c r="AC160" s="253"/>
      <c r="AD160" s="553"/>
      <c r="AE160" s="583"/>
    </row>
    <row r="161" spans="2:26" s="1" customFormat="1" x14ac:dyDescent="0.25">
      <c r="B161" s="605" t="s">
        <v>251</v>
      </c>
      <c r="C161" s="606" t="s">
        <v>237</v>
      </c>
      <c r="D161" s="606"/>
      <c r="E161" s="260"/>
      <c r="F161" s="260"/>
      <c r="G161" s="260"/>
      <c r="H161" s="260"/>
      <c r="I161" s="260"/>
      <c r="J161" s="260"/>
      <c r="K161" s="260"/>
      <c r="L161" s="260"/>
      <c r="M161" s="260">
        <f>SUM(M133,M135,M137,M143,M145,M147,M149,M151,M153,M155,M157,M159)</f>
        <v>37</v>
      </c>
      <c r="N161" s="257"/>
      <c r="O161" s="257"/>
      <c r="P161" s="257"/>
      <c r="Q161" s="257"/>
      <c r="R161" s="257"/>
      <c r="S161" s="257"/>
      <c r="T161" s="257"/>
      <c r="U161" s="257"/>
      <c r="V161" s="257">
        <f>SUM(V133,V135,V137,V143,V145,V147,V149,V151,V153,V155,V157,V159)</f>
        <v>4</v>
      </c>
      <c r="W161" s="257"/>
      <c r="X161" s="257">
        <f>SUM(X133,X135,X137,X143,X145,X147,X149,X151,X153,X155,X157,X159)</f>
        <v>39.400000000000006</v>
      </c>
      <c r="Y161" s="91"/>
      <c r="Z161" s="599">
        <f>SUM(Z133:Z160)</f>
        <v>42.2</v>
      </c>
    </row>
    <row r="162" spans="2:26" s="1" customFormat="1" x14ac:dyDescent="0.25">
      <c r="B162" s="605"/>
      <c r="C162" s="608" t="s">
        <v>238</v>
      </c>
      <c r="D162" s="608"/>
      <c r="E162" s="257"/>
      <c r="F162" s="257"/>
      <c r="G162" s="257"/>
      <c r="H162" s="257"/>
      <c r="I162" s="257"/>
      <c r="J162" s="257"/>
      <c r="K162" s="257"/>
      <c r="L162" s="257"/>
      <c r="M162" s="257">
        <f>SUM(M134,M136,M138,M144,M146,M148,M150,M152,M154,M156,M158,M160)</f>
        <v>38</v>
      </c>
      <c r="N162" s="257"/>
      <c r="O162" s="257"/>
      <c r="P162" s="257"/>
      <c r="Q162" s="257"/>
      <c r="R162" s="257"/>
      <c r="S162" s="257"/>
      <c r="T162" s="257"/>
      <c r="U162" s="257"/>
      <c r="V162" s="257">
        <f>SUM(V134,V136,V138,V144,V146,V148,V150,V152,V154,V156,V158,V160)</f>
        <v>5</v>
      </c>
      <c r="W162" s="257"/>
      <c r="X162" s="257">
        <f>SUM(X134,X136,X138,X144,X146,X148,X150,X152,X154,X156,X158,X160)</f>
        <v>41</v>
      </c>
      <c r="Y162" s="91"/>
      <c r="Z162" s="632"/>
    </row>
  </sheetData>
  <mergeCells count="570">
    <mergeCell ref="A103:A104"/>
    <mergeCell ref="B103:B104"/>
    <mergeCell ref="Z103:Z104"/>
    <mergeCell ref="AA103:AA104"/>
    <mergeCell ref="AB103:AB104"/>
    <mergeCell ref="AC103:AC104"/>
    <mergeCell ref="AD103:AD104"/>
    <mergeCell ref="AE103:AE104"/>
    <mergeCell ref="A155:A156"/>
    <mergeCell ref="B155:B156"/>
    <mergeCell ref="Z155:Z156"/>
    <mergeCell ref="AA155:AA156"/>
    <mergeCell ref="AD155:AD156"/>
    <mergeCell ref="AE155:AE156"/>
    <mergeCell ref="A147:A148"/>
    <mergeCell ref="B147:B148"/>
    <mergeCell ref="Z147:Z148"/>
    <mergeCell ref="AA147:AA148"/>
    <mergeCell ref="AD147:AD148"/>
    <mergeCell ref="AE147:AE148"/>
    <mergeCell ref="A151:A152"/>
    <mergeCell ref="B151:B152"/>
    <mergeCell ref="Z151:Z152"/>
    <mergeCell ref="AA151:AA152"/>
    <mergeCell ref="B65:B66"/>
    <mergeCell ref="C65:D65"/>
    <mergeCell ref="Z65:Z66"/>
    <mergeCell ref="AB65:AB66"/>
    <mergeCell ref="AC65:AC66"/>
    <mergeCell ref="AD65:AD66"/>
    <mergeCell ref="AE65:AE66"/>
    <mergeCell ref="C66:D66"/>
    <mergeCell ref="B161:B162"/>
    <mergeCell ref="C161:D161"/>
    <mergeCell ref="Z161:Z162"/>
    <mergeCell ref="C162:D162"/>
    <mergeCell ref="AD143:AD144"/>
    <mergeCell ref="AE143:AE144"/>
    <mergeCell ref="AD139:AD140"/>
    <mergeCell ref="AE139:AE140"/>
    <mergeCell ref="AD135:AD136"/>
    <mergeCell ref="AE135:AE136"/>
    <mergeCell ref="AD130:AE130"/>
    <mergeCell ref="B125:B126"/>
    <mergeCell ref="C125:D125"/>
    <mergeCell ref="Z125:Z126"/>
    <mergeCell ref="C126:D126"/>
    <mergeCell ref="AD121:AD122"/>
    <mergeCell ref="A159:A160"/>
    <mergeCell ref="B159:B160"/>
    <mergeCell ref="Z159:Z160"/>
    <mergeCell ref="AA159:AA160"/>
    <mergeCell ref="AD159:AD160"/>
    <mergeCell ref="AE159:AE160"/>
    <mergeCell ref="A153:A154"/>
    <mergeCell ref="B153:B154"/>
    <mergeCell ref="Z153:Z154"/>
    <mergeCell ref="AA153:AA154"/>
    <mergeCell ref="AD153:AD154"/>
    <mergeCell ref="AE153:AE154"/>
    <mergeCell ref="A157:A158"/>
    <mergeCell ref="B157:B158"/>
    <mergeCell ref="Z157:Z158"/>
    <mergeCell ref="AA157:AA158"/>
    <mergeCell ref="AD157:AD158"/>
    <mergeCell ref="AE157:AE158"/>
    <mergeCell ref="AD151:AD152"/>
    <mergeCell ref="AE151:AE152"/>
    <mergeCell ref="A149:A150"/>
    <mergeCell ref="B149:B150"/>
    <mergeCell ref="Z149:Z150"/>
    <mergeCell ref="AA149:AA150"/>
    <mergeCell ref="AD149:AD150"/>
    <mergeCell ref="AE149:AE150"/>
    <mergeCell ref="A145:A146"/>
    <mergeCell ref="B145:B146"/>
    <mergeCell ref="Z145:Z146"/>
    <mergeCell ref="AA145:AA146"/>
    <mergeCell ref="AB145:AB146"/>
    <mergeCell ref="AC145:AC146"/>
    <mergeCell ref="AD145:AD146"/>
    <mergeCell ref="AE145:AE146"/>
    <mergeCell ref="A143:A144"/>
    <mergeCell ref="B143:B144"/>
    <mergeCell ref="Z143:Z144"/>
    <mergeCell ref="AA143:AA144"/>
    <mergeCell ref="AB143:AB144"/>
    <mergeCell ref="AC143:AC144"/>
    <mergeCell ref="A141:A142"/>
    <mergeCell ref="B141:B142"/>
    <mergeCell ref="Z141:Z142"/>
    <mergeCell ref="AA141:AA142"/>
    <mergeCell ref="AB141:AB142"/>
    <mergeCell ref="AC141:AC142"/>
    <mergeCell ref="AD141:AD142"/>
    <mergeCell ref="AE141:AE142"/>
    <mergeCell ref="A139:A140"/>
    <mergeCell ref="B139:B140"/>
    <mergeCell ref="Z139:Z140"/>
    <mergeCell ref="AA139:AA140"/>
    <mergeCell ref="AB139:AB140"/>
    <mergeCell ref="AC139:AC140"/>
    <mergeCell ref="A137:A138"/>
    <mergeCell ref="B137:B138"/>
    <mergeCell ref="Z137:Z138"/>
    <mergeCell ref="AA137:AA138"/>
    <mergeCell ref="AB137:AB138"/>
    <mergeCell ref="AC137:AC138"/>
    <mergeCell ref="AD137:AD138"/>
    <mergeCell ref="AE137:AE138"/>
    <mergeCell ref="A135:A136"/>
    <mergeCell ref="B135:B136"/>
    <mergeCell ref="Z135:Z136"/>
    <mergeCell ref="AA135:AA136"/>
    <mergeCell ref="AB135:AB136"/>
    <mergeCell ref="AC135:AC136"/>
    <mergeCell ref="A133:A134"/>
    <mergeCell ref="B133:B134"/>
    <mergeCell ref="Z133:Z134"/>
    <mergeCell ref="AA133:AA134"/>
    <mergeCell ref="AB133:AB134"/>
    <mergeCell ref="AC133:AC134"/>
    <mergeCell ref="AD133:AD134"/>
    <mergeCell ref="AE133:AE134"/>
    <mergeCell ref="X130:X131"/>
    <mergeCell ref="Y130:Y131"/>
    <mergeCell ref="Z130:Z131"/>
    <mergeCell ref="AA130:AA131"/>
    <mergeCell ref="AB130:AB131"/>
    <mergeCell ref="AC130:AC131"/>
    <mergeCell ref="A130:A131"/>
    <mergeCell ref="B130:B131"/>
    <mergeCell ref="C130:C131"/>
    <mergeCell ref="D130:D131"/>
    <mergeCell ref="N130:N131"/>
    <mergeCell ref="W130:W131"/>
    <mergeCell ref="AE121:AE122"/>
    <mergeCell ref="A123:A124"/>
    <mergeCell ref="B123:B124"/>
    <mergeCell ref="Z123:Z124"/>
    <mergeCell ref="AA123:AA124"/>
    <mergeCell ref="AD123:AD124"/>
    <mergeCell ref="AE123:AE124"/>
    <mergeCell ref="A121:A122"/>
    <mergeCell ref="B121:B122"/>
    <mergeCell ref="Z121:Z122"/>
    <mergeCell ref="AA121:AA122"/>
    <mergeCell ref="AB121:AB122"/>
    <mergeCell ref="AC121:AC122"/>
    <mergeCell ref="AD117:AD118"/>
    <mergeCell ref="AE117:AE118"/>
    <mergeCell ref="A119:A120"/>
    <mergeCell ref="B119:B120"/>
    <mergeCell ref="Z119:Z120"/>
    <mergeCell ref="AA119:AA120"/>
    <mergeCell ref="AB119:AB120"/>
    <mergeCell ref="AC119:AC120"/>
    <mergeCell ref="AD119:AD120"/>
    <mergeCell ref="AE119:AE120"/>
    <mergeCell ref="A117:A118"/>
    <mergeCell ref="B117:B118"/>
    <mergeCell ref="Z117:Z118"/>
    <mergeCell ref="AA117:AA118"/>
    <mergeCell ref="AB117:AB118"/>
    <mergeCell ref="AC117:AC118"/>
    <mergeCell ref="A115:A116"/>
    <mergeCell ref="B115:B116"/>
    <mergeCell ref="Z115:Z116"/>
    <mergeCell ref="AA115:AA116"/>
    <mergeCell ref="AB115:AB116"/>
    <mergeCell ref="AC115:AC116"/>
    <mergeCell ref="AD115:AD116"/>
    <mergeCell ref="AE115:AE116"/>
    <mergeCell ref="W112:W113"/>
    <mergeCell ref="X112:X113"/>
    <mergeCell ref="Y112:Y113"/>
    <mergeCell ref="Z112:Z113"/>
    <mergeCell ref="AA112:AA113"/>
    <mergeCell ref="AB112:AB113"/>
    <mergeCell ref="AD105:AD106"/>
    <mergeCell ref="AE105:AE106"/>
    <mergeCell ref="B107:B108"/>
    <mergeCell ref="C107:D107"/>
    <mergeCell ref="C108:D108"/>
    <mergeCell ref="A112:A113"/>
    <mergeCell ref="B112:B113"/>
    <mergeCell ref="C112:C113"/>
    <mergeCell ref="D112:D113"/>
    <mergeCell ref="N112:N113"/>
    <mergeCell ref="A105:A106"/>
    <mergeCell ref="B105:B106"/>
    <mergeCell ref="Z105:Z106"/>
    <mergeCell ref="AA105:AA106"/>
    <mergeCell ref="AB105:AB106"/>
    <mergeCell ref="AC105:AC106"/>
    <mergeCell ref="AC112:AC113"/>
    <mergeCell ref="AD112:AE112"/>
    <mergeCell ref="AD99:AD100"/>
    <mergeCell ref="AE99:AE100"/>
    <mergeCell ref="A101:A102"/>
    <mergeCell ref="B101:B102"/>
    <mergeCell ref="Z101:Z102"/>
    <mergeCell ref="AA101:AA102"/>
    <mergeCell ref="AB101:AB102"/>
    <mergeCell ref="AC101:AC102"/>
    <mergeCell ref="AD101:AD102"/>
    <mergeCell ref="AE101:AE102"/>
    <mergeCell ref="A99:A100"/>
    <mergeCell ref="B99:B100"/>
    <mergeCell ref="Z99:Z100"/>
    <mergeCell ref="AA99:AA100"/>
    <mergeCell ref="AB99:AB100"/>
    <mergeCell ref="AC99:AC100"/>
    <mergeCell ref="AD95:AD96"/>
    <mergeCell ref="AE95:AE96"/>
    <mergeCell ref="A97:A98"/>
    <mergeCell ref="B97:B98"/>
    <mergeCell ref="Z97:Z98"/>
    <mergeCell ref="AA97:AA98"/>
    <mergeCell ref="AB97:AB98"/>
    <mergeCell ref="AC97:AC98"/>
    <mergeCell ref="AD97:AD98"/>
    <mergeCell ref="AE97:AE98"/>
    <mergeCell ref="A95:A96"/>
    <mergeCell ref="B95:B96"/>
    <mergeCell ref="Z95:Z96"/>
    <mergeCell ref="AA95:AA96"/>
    <mergeCell ref="AB95:AB96"/>
    <mergeCell ref="AC95:AC96"/>
    <mergeCell ref="AD91:AD92"/>
    <mergeCell ref="AE91:AE92"/>
    <mergeCell ref="A93:A94"/>
    <mergeCell ref="B93:B94"/>
    <mergeCell ref="Z93:Z94"/>
    <mergeCell ref="AA93:AA94"/>
    <mergeCell ref="AB93:AB94"/>
    <mergeCell ref="AC93:AC94"/>
    <mergeCell ref="AD93:AD94"/>
    <mergeCell ref="AE93:AE94"/>
    <mergeCell ref="A91:A92"/>
    <mergeCell ref="B91:B92"/>
    <mergeCell ref="Z91:Z92"/>
    <mergeCell ref="AA91:AA92"/>
    <mergeCell ref="AB91:AB92"/>
    <mergeCell ref="AC91:AC92"/>
    <mergeCell ref="AD87:AD88"/>
    <mergeCell ref="AE87:AE88"/>
    <mergeCell ref="A89:A90"/>
    <mergeCell ref="B89:B90"/>
    <mergeCell ref="Z89:Z90"/>
    <mergeCell ref="AA89:AA90"/>
    <mergeCell ref="AB89:AB90"/>
    <mergeCell ref="AC89:AC90"/>
    <mergeCell ref="AD89:AD90"/>
    <mergeCell ref="AE89:AE90"/>
    <mergeCell ref="A87:A88"/>
    <mergeCell ref="B87:B88"/>
    <mergeCell ref="Z87:Z88"/>
    <mergeCell ref="AA87:AA88"/>
    <mergeCell ref="AB87:AB88"/>
    <mergeCell ref="AC87:AC88"/>
    <mergeCell ref="AD83:AD84"/>
    <mergeCell ref="AE83:AE84"/>
    <mergeCell ref="A85:A86"/>
    <mergeCell ref="B85:B86"/>
    <mergeCell ref="Z85:Z86"/>
    <mergeCell ref="AA85:AA86"/>
    <mergeCell ref="AB85:AB86"/>
    <mergeCell ref="AC85:AC86"/>
    <mergeCell ref="AD85:AD86"/>
    <mergeCell ref="AE85:AE86"/>
    <mergeCell ref="A83:A84"/>
    <mergeCell ref="B83:B84"/>
    <mergeCell ref="Z83:Z84"/>
    <mergeCell ref="AA83:AA84"/>
    <mergeCell ref="AB83:AB84"/>
    <mergeCell ref="AC83:AC84"/>
    <mergeCell ref="AD79:AD80"/>
    <mergeCell ref="AE79:AE80"/>
    <mergeCell ref="A81:A82"/>
    <mergeCell ref="B81:B82"/>
    <mergeCell ref="Z81:Z82"/>
    <mergeCell ref="AA81:AA82"/>
    <mergeCell ref="AB81:AB82"/>
    <mergeCell ref="AC81:AC82"/>
    <mergeCell ref="AD81:AD82"/>
    <mergeCell ref="AE81:AE82"/>
    <mergeCell ref="A79:A80"/>
    <mergeCell ref="B79:B80"/>
    <mergeCell ref="Z79:Z80"/>
    <mergeCell ref="AA79:AA80"/>
    <mergeCell ref="AB79:AB80"/>
    <mergeCell ref="AC79:AC80"/>
    <mergeCell ref="AD75:AD76"/>
    <mergeCell ref="AE75:AE76"/>
    <mergeCell ref="A77:A78"/>
    <mergeCell ref="B77:B78"/>
    <mergeCell ref="Z77:Z78"/>
    <mergeCell ref="AA77:AA78"/>
    <mergeCell ref="AB77:AB78"/>
    <mergeCell ref="AC77:AC78"/>
    <mergeCell ref="AD77:AD78"/>
    <mergeCell ref="AE77:AE78"/>
    <mergeCell ref="A75:A76"/>
    <mergeCell ref="B75:B76"/>
    <mergeCell ref="Z75:Z76"/>
    <mergeCell ref="AA75:AA76"/>
    <mergeCell ref="AB75:AB76"/>
    <mergeCell ref="AC75:AC76"/>
    <mergeCell ref="AD70:AE70"/>
    <mergeCell ref="A73:A74"/>
    <mergeCell ref="B73:B74"/>
    <mergeCell ref="Z73:Z74"/>
    <mergeCell ref="AA73:AA74"/>
    <mergeCell ref="AB73:AB74"/>
    <mergeCell ref="AC73:AC74"/>
    <mergeCell ref="AD73:AD74"/>
    <mergeCell ref="AE73:AE74"/>
    <mergeCell ref="X70:X71"/>
    <mergeCell ref="Y70:Y71"/>
    <mergeCell ref="Z70:Z71"/>
    <mergeCell ref="AA70:AA71"/>
    <mergeCell ref="AB70:AB71"/>
    <mergeCell ref="AC70:AC71"/>
    <mergeCell ref="A70:A71"/>
    <mergeCell ref="B70:B71"/>
    <mergeCell ref="C70:C71"/>
    <mergeCell ref="D70:D71"/>
    <mergeCell ref="N70:N71"/>
    <mergeCell ref="W70:W71"/>
    <mergeCell ref="A55:A56"/>
    <mergeCell ref="B55:B56"/>
    <mergeCell ref="Z55:Z56"/>
    <mergeCell ref="AA55:AA56"/>
    <mergeCell ref="AB55:AB56"/>
    <mergeCell ref="AC55:AC56"/>
    <mergeCell ref="AD59:AD60"/>
    <mergeCell ref="AE59:AE60"/>
    <mergeCell ref="B63:B64"/>
    <mergeCell ref="C63:D63"/>
    <mergeCell ref="Z63:Z64"/>
    <mergeCell ref="AB63:AB64"/>
    <mergeCell ref="AC63:AC64"/>
    <mergeCell ref="AD63:AD64"/>
    <mergeCell ref="AE63:AE64"/>
    <mergeCell ref="C64:D64"/>
    <mergeCell ref="A61:A62"/>
    <mergeCell ref="B61:B62"/>
    <mergeCell ref="Z61:Z62"/>
    <mergeCell ref="AA61:AA62"/>
    <mergeCell ref="AB61:AB62"/>
    <mergeCell ref="AC61:AC62"/>
    <mergeCell ref="AD61:AD62"/>
    <mergeCell ref="AE61:AE62"/>
    <mergeCell ref="A53:A54"/>
    <mergeCell ref="B53:B54"/>
    <mergeCell ref="Z53:Z54"/>
    <mergeCell ref="AA53:AA54"/>
    <mergeCell ref="AB53:AB54"/>
    <mergeCell ref="AC53:AC54"/>
    <mergeCell ref="AD53:AD54"/>
    <mergeCell ref="AE53:AE54"/>
    <mergeCell ref="A59:A60"/>
    <mergeCell ref="B59:B60"/>
    <mergeCell ref="Z59:Z60"/>
    <mergeCell ref="AA59:AA60"/>
    <mergeCell ref="AB59:AB60"/>
    <mergeCell ref="AC59:AC60"/>
    <mergeCell ref="AD55:AD56"/>
    <mergeCell ref="AE55:AE56"/>
    <mergeCell ref="A57:A58"/>
    <mergeCell ref="B57:B58"/>
    <mergeCell ref="Z57:Z58"/>
    <mergeCell ref="AA57:AA58"/>
    <mergeCell ref="AB57:AB58"/>
    <mergeCell ref="AC57:AC58"/>
    <mergeCell ref="AD57:AD58"/>
    <mergeCell ref="AE57:AE58"/>
    <mergeCell ref="A51:A52"/>
    <mergeCell ref="B51:B52"/>
    <mergeCell ref="Z51:Z52"/>
    <mergeCell ref="AA51:AA52"/>
    <mergeCell ref="AB51:AB52"/>
    <mergeCell ref="AC51:AC52"/>
    <mergeCell ref="AD51:AD52"/>
    <mergeCell ref="AE51:AE52"/>
    <mergeCell ref="A50:B50"/>
    <mergeCell ref="AE43:AE44"/>
    <mergeCell ref="B47:B48"/>
    <mergeCell ref="C47:D47"/>
    <mergeCell ref="Z47:Z48"/>
    <mergeCell ref="AB47:AB48"/>
    <mergeCell ref="AC47:AC48"/>
    <mergeCell ref="AD47:AD48"/>
    <mergeCell ref="AE47:AE48"/>
    <mergeCell ref="C48:D48"/>
    <mergeCell ref="AE45:AE46"/>
    <mergeCell ref="B45:B46"/>
    <mergeCell ref="Z45:Z46"/>
    <mergeCell ref="AA45:AA46"/>
    <mergeCell ref="AB45:AB46"/>
    <mergeCell ref="A43:A44"/>
    <mergeCell ref="B43:B44"/>
    <mergeCell ref="Z43:Z44"/>
    <mergeCell ref="AA43:AA44"/>
    <mergeCell ref="AB43:AB44"/>
    <mergeCell ref="AC43:AC44"/>
    <mergeCell ref="AC45:AC46"/>
    <mergeCell ref="AD45:AD46"/>
    <mergeCell ref="AD39:AD40"/>
    <mergeCell ref="AD43:AD44"/>
    <mergeCell ref="A45:A46"/>
    <mergeCell ref="AE39:AE40"/>
    <mergeCell ref="A41:A42"/>
    <mergeCell ref="B41:B42"/>
    <mergeCell ref="Z41:Z42"/>
    <mergeCell ref="AA41:AA42"/>
    <mergeCell ref="AB41:AB42"/>
    <mergeCell ref="AC41:AC42"/>
    <mergeCell ref="AD41:AD42"/>
    <mergeCell ref="AE41:AE42"/>
    <mergeCell ref="A39:A40"/>
    <mergeCell ref="B39:B40"/>
    <mergeCell ref="Z39:Z40"/>
    <mergeCell ref="AA39:AA40"/>
    <mergeCell ref="AB39:AB40"/>
    <mergeCell ref="AC39:AC40"/>
    <mergeCell ref="AD35:AD36"/>
    <mergeCell ref="AE35:AE36"/>
    <mergeCell ref="A37:A38"/>
    <mergeCell ref="B37:B38"/>
    <mergeCell ref="Z37:Z38"/>
    <mergeCell ref="AA37:AA38"/>
    <mergeCell ref="AB37:AB38"/>
    <mergeCell ref="AC37:AC38"/>
    <mergeCell ref="AD37:AD38"/>
    <mergeCell ref="AE37:AE38"/>
    <mergeCell ref="A35:A36"/>
    <mergeCell ref="B35:B36"/>
    <mergeCell ref="Z35:Z36"/>
    <mergeCell ref="AA35:AA36"/>
    <mergeCell ref="AB35:AB36"/>
    <mergeCell ref="AC35:AC36"/>
    <mergeCell ref="AD31:AD32"/>
    <mergeCell ref="AE31:AE32"/>
    <mergeCell ref="A33:A34"/>
    <mergeCell ref="B33:B34"/>
    <mergeCell ref="Z33:Z34"/>
    <mergeCell ref="AA33:AA34"/>
    <mergeCell ref="AB33:AB34"/>
    <mergeCell ref="AC33:AC34"/>
    <mergeCell ref="AD33:AD34"/>
    <mergeCell ref="AE33:AE34"/>
    <mergeCell ref="A31:A32"/>
    <mergeCell ref="B31:B32"/>
    <mergeCell ref="Z31:Z32"/>
    <mergeCell ref="AA31:AA32"/>
    <mergeCell ref="AB31:AB32"/>
    <mergeCell ref="AC31:AC32"/>
    <mergeCell ref="AD27:AD28"/>
    <mergeCell ref="AE27:AE28"/>
    <mergeCell ref="A29:A30"/>
    <mergeCell ref="B29:B30"/>
    <mergeCell ref="Z29:Z30"/>
    <mergeCell ref="AA29:AA30"/>
    <mergeCell ref="AB29:AB30"/>
    <mergeCell ref="AC29:AC30"/>
    <mergeCell ref="AD29:AD30"/>
    <mergeCell ref="AE29:AE30"/>
    <mergeCell ref="A27:A28"/>
    <mergeCell ref="B27:B28"/>
    <mergeCell ref="Z27:Z28"/>
    <mergeCell ref="AA27:AA28"/>
    <mergeCell ref="AB27:AB28"/>
    <mergeCell ref="AC27:AC28"/>
    <mergeCell ref="AD23:AD24"/>
    <mergeCell ref="AE23:AE24"/>
    <mergeCell ref="A25:A26"/>
    <mergeCell ref="B25:B26"/>
    <mergeCell ref="Z25:Z26"/>
    <mergeCell ref="AA25:AA26"/>
    <mergeCell ref="AB25:AB26"/>
    <mergeCell ref="AC25:AC26"/>
    <mergeCell ref="AD25:AD26"/>
    <mergeCell ref="AE25:AE26"/>
    <mergeCell ref="A23:A24"/>
    <mergeCell ref="B23:B24"/>
    <mergeCell ref="Z23:Z24"/>
    <mergeCell ref="AA23:AA24"/>
    <mergeCell ref="AB23:AB24"/>
    <mergeCell ref="AC23:AC24"/>
    <mergeCell ref="AD19:AD20"/>
    <mergeCell ref="AE19:AE20"/>
    <mergeCell ref="A21:A22"/>
    <mergeCell ref="B21:B22"/>
    <mergeCell ref="Z21:Z22"/>
    <mergeCell ref="AA21:AA22"/>
    <mergeCell ref="AB21:AB22"/>
    <mergeCell ref="AC21:AC22"/>
    <mergeCell ref="AD21:AD22"/>
    <mergeCell ref="AE21:AE22"/>
    <mergeCell ref="A19:A20"/>
    <mergeCell ref="B19:B20"/>
    <mergeCell ref="Z19:Z20"/>
    <mergeCell ref="AA19:AA20"/>
    <mergeCell ref="AB19:AB20"/>
    <mergeCell ref="AC19:AC20"/>
    <mergeCell ref="AD15:AD16"/>
    <mergeCell ref="AE15:AE16"/>
    <mergeCell ref="A17:A18"/>
    <mergeCell ref="B17:B18"/>
    <mergeCell ref="Z17:Z18"/>
    <mergeCell ref="AA17:AA18"/>
    <mergeCell ref="AB17:AB18"/>
    <mergeCell ref="AC17:AC18"/>
    <mergeCell ref="AD17:AD18"/>
    <mergeCell ref="AE17:AE18"/>
    <mergeCell ref="A15:A16"/>
    <mergeCell ref="B15:B16"/>
    <mergeCell ref="Z15:Z16"/>
    <mergeCell ref="AA15:AA16"/>
    <mergeCell ref="AB15:AB16"/>
    <mergeCell ref="AC15:AC16"/>
    <mergeCell ref="A13:A14"/>
    <mergeCell ref="B13:B14"/>
    <mergeCell ref="Z13:Z14"/>
    <mergeCell ref="AA13:AA14"/>
    <mergeCell ref="AB13:AB14"/>
    <mergeCell ref="AC13:AC14"/>
    <mergeCell ref="AD13:AD14"/>
    <mergeCell ref="AE13:AE14"/>
    <mergeCell ref="A11:A12"/>
    <mergeCell ref="B11:B12"/>
    <mergeCell ref="Z11:Z12"/>
    <mergeCell ref="AA11:AA12"/>
    <mergeCell ref="AB11:AB12"/>
    <mergeCell ref="AC11:AC12"/>
    <mergeCell ref="A9:A10"/>
    <mergeCell ref="B9:B10"/>
    <mergeCell ref="Z9:Z10"/>
    <mergeCell ref="AA9:AA10"/>
    <mergeCell ref="AB9:AB10"/>
    <mergeCell ref="AC9:AC10"/>
    <mergeCell ref="AD9:AD10"/>
    <mergeCell ref="AE9:AE10"/>
    <mergeCell ref="AD11:AD12"/>
    <mergeCell ref="AE11:AE12"/>
    <mergeCell ref="AB4:AB5"/>
    <mergeCell ref="AC4:AC5"/>
    <mergeCell ref="AD4:AE4"/>
    <mergeCell ref="A7:A8"/>
    <mergeCell ref="B7:B8"/>
    <mergeCell ref="Z7:Z8"/>
    <mergeCell ref="AA7:AA8"/>
    <mergeCell ref="AB7:AB8"/>
    <mergeCell ref="AC7:AC8"/>
    <mergeCell ref="AD7:AD8"/>
    <mergeCell ref="O4:U4"/>
    <mergeCell ref="W4:W5"/>
    <mergeCell ref="X4:X5"/>
    <mergeCell ref="Y4:Y5"/>
    <mergeCell ref="Z4:Z5"/>
    <mergeCell ref="AA4:AA5"/>
    <mergeCell ref="A4:A5"/>
    <mergeCell ref="B4:B5"/>
    <mergeCell ref="C4:C5"/>
    <mergeCell ref="D4:D5"/>
    <mergeCell ref="E4:L4"/>
    <mergeCell ref="N4:N5"/>
    <mergeCell ref="AE7:AE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2"/>
  <sheetViews>
    <sheetView workbookViewId="0">
      <selection activeCell="AH20" sqref="AH20"/>
    </sheetView>
  </sheetViews>
  <sheetFormatPr defaultColWidth="9.5703125" defaultRowHeight="15" x14ac:dyDescent="0.25"/>
  <cols>
    <col min="2" max="2" width="27.140625" bestFit="1" customWidth="1"/>
    <col min="4" max="4" width="9.85546875" customWidth="1"/>
    <col min="5" max="12" width="2.85546875" customWidth="1"/>
    <col min="15" max="21" width="0" hidden="1" customWidth="1"/>
  </cols>
  <sheetData>
    <row r="1" spans="1:31" s="1" customFormat="1" ht="18.75" x14ac:dyDescent="0.3">
      <c r="A1" s="194" t="s">
        <v>211</v>
      </c>
      <c r="B1" s="193"/>
      <c r="C1" s="193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X1" s="77"/>
      <c r="Y1" s="77"/>
    </row>
    <row r="2" spans="1:31" s="1" customFormat="1" ht="7.5" customHeight="1" x14ac:dyDescent="0.3">
      <c r="A2" s="194"/>
      <c r="B2" s="193"/>
      <c r="C2" s="193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X2" s="77"/>
      <c r="Y2" s="77"/>
    </row>
    <row r="3" spans="1:31" s="1" customFormat="1" ht="18.75" x14ac:dyDescent="0.3">
      <c r="A3" s="193" t="s">
        <v>212</v>
      </c>
      <c r="B3" s="193"/>
      <c r="C3" s="193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X3" s="77"/>
      <c r="Y3" s="77"/>
    </row>
    <row r="4" spans="1:31" s="1" customFormat="1" ht="12.75" customHeight="1" x14ac:dyDescent="0.25">
      <c r="A4" s="570" t="s">
        <v>213</v>
      </c>
      <c r="B4" s="570" t="s">
        <v>214</v>
      </c>
      <c r="C4" s="571" t="s">
        <v>215</v>
      </c>
      <c r="D4" s="573" t="s">
        <v>216</v>
      </c>
      <c r="E4" s="574" t="s">
        <v>217</v>
      </c>
      <c r="F4" s="575"/>
      <c r="G4" s="575"/>
      <c r="H4" s="575"/>
      <c r="I4" s="576"/>
      <c r="J4" s="576"/>
      <c r="K4" s="576"/>
      <c r="L4" s="577"/>
      <c r="M4" s="258" t="s">
        <v>218</v>
      </c>
      <c r="N4" s="548" t="s">
        <v>219</v>
      </c>
      <c r="O4" s="561" t="s">
        <v>220</v>
      </c>
      <c r="P4" s="562"/>
      <c r="Q4" s="562"/>
      <c r="R4" s="562"/>
      <c r="S4" s="562"/>
      <c r="T4" s="562"/>
      <c r="U4" s="563"/>
      <c r="V4" s="258" t="s">
        <v>218</v>
      </c>
      <c r="W4" s="548" t="s">
        <v>221</v>
      </c>
      <c r="X4" s="564" t="s">
        <v>222</v>
      </c>
      <c r="Y4" s="566" t="s">
        <v>223</v>
      </c>
      <c r="Z4" s="568" t="s">
        <v>224</v>
      </c>
      <c r="AA4" s="566" t="s">
        <v>223</v>
      </c>
      <c r="AB4" s="548" t="s">
        <v>225</v>
      </c>
      <c r="AC4" s="548" t="s">
        <v>226</v>
      </c>
      <c r="AD4" s="550" t="s">
        <v>227</v>
      </c>
      <c r="AE4" s="551"/>
    </row>
    <row r="5" spans="1:31" s="1" customFormat="1" ht="165.75" x14ac:dyDescent="0.25">
      <c r="A5" s="570"/>
      <c r="B5" s="570"/>
      <c r="C5" s="572"/>
      <c r="D5" s="573"/>
      <c r="E5" s="258" t="s">
        <v>228</v>
      </c>
      <c r="F5" s="258" t="s">
        <v>234</v>
      </c>
      <c r="G5" s="255" t="s">
        <v>283</v>
      </c>
      <c r="H5" s="255" t="s">
        <v>398</v>
      </c>
      <c r="I5" s="255" t="s">
        <v>376</v>
      </c>
      <c r="J5" s="255" t="s">
        <v>375</v>
      </c>
      <c r="K5" s="258" t="s">
        <v>230</v>
      </c>
      <c r="L5" s="258" t="s">
        <v>231</v>
      </c>
      <c r="M5" s="259" t="s">
        <v>17</v>
      </c>
      <c r="N5" s="549"/>
      <c r="O5" s="258" t="s">
        <v>229</v>
      </c>
      <c r="P5" s="258" t="s">
        <v>232</v>
      </c>
      <c r="Q5" s="258" t="s">
        <v>228</v>
      </c>
      <c r="R5" s="258" t="s">
        <v>233</v>
      </c>
      <c r="S5" s="258" t="s">
        <v>234</v>
      </c>
      <c r="T5" s="258" t="s">
        <v>231</v>
      </c>
      <c r="U5" s="258" t="s">
        <v>230</v>
      </c>
      <c r="V5" s="259" t="s">
        <v>18</v>
      </c>
      <c r="W5" s="549"/>
      <c r="X5" s="565"/>
      <c r="Y5" s="567"/>
      <c r="Z5" s="569"/>
      <c r="AA5" s="567"/>
      <c r="AB5" s="549"/>
      <c r="AC5" s="549"/>
      <c r="AD5" s="78" t="s">
        <v>235</v>
      </c>
      <c r="AE5" s="78" t="s">
        <v>236</v>
      </c>
    </row>
    <row r="6" spans="1:31" s="1" customFormat="1" x14ac:dyDescent="0.25">
      <c r="A6" s="79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2"/>
    </row>
    <row r="7" spans="1:31" s="1" customFormat="1" x14ac:dyDescent="0.25">
      <c r="A7" s="552">
        <v>1</v>
      </c>
      <c r="B7" s="554" t="s">
        <v>243</v>
      </c>
      <c r="C7" s="83" t="s">
        <v>237</v>
      </c>
      <c r="D7" s="84">
        <v>3</v>
      </c>
      <c r="E7" s="85"/>
      <c r="F7" s="85"/>
      <c r="G7" s="85"/>
      <c r="H7" s="85"/>
      <c r="I7" s="118"/>
      <c r="J7" s="85"/>
      <c r="K7" s="85"/>
      <c r="L7" s="85"/>
      <c r="M7" s="86">
        <f>SUMIF('Наставни ансамбл'!J14:J220,"Далибор Стевић",'Наставни ансамбл'!G14:G220)</f>
        <v>8</v>
      </c>
      <c r="N7" s="87">
        <f>SUM(E7:M7)</f>
        <v>8</v>
      </c>
      <c r="O7" s="85"/>
      <c r="P7" s="85"/>
      <c r="Q7" s="85"/>
      <c r="R7" s="85"/>
      <c r="S7" s="85"/>
      <c r="T7" s="85"/>
      <c r="U7" s="85"/>
      <c r="V7" s="88">
        <f>SUMIF('Наставни ансамбл'!J14:J220,"Далибор Стевић",'Наставни ансамбл'!H14:H220)</f>
        <v>0</v>
      </c>
      <c r="W7" s="87">
        <f t="shared" ref="W7:W36" si="0">SUM(O7,P7,Q7,R7,V7,U7)</f>
        <v>0</v>
      </c>
      <c r="X7" s="84">
        <f t="shared" ref="X7:X26" si="1">N7+(W7*0.6)</f>
        <v>8</v>
      </c>
      <c r="Y7" s="89">
        <f t="shared" ref="Y7:Y44" si="2">X7/D7*100</f>
        <v>266.66666666666663</v>
      </c>
      <c r="Z7" s="556">
        <f>(X7+X8)/2</f>
        <v>6.5</v>
      </c>
      <c r="AA7" s="558">
        <f>Z7/D7*100</f>
        <v>216.66666666666666</v>
      </c>
      <c r="AB7" s="556">
        <f>IF(Z7&lt;=D7,Z7,D7)</f>
        <v>3</v>
      </c>
      <c r="AC7" s="556">
        <f>IF(Z7&gt;D7,Z7-D7,0)</f>
        <v>3.5</v>
      </c>
      <c r="AD7" s="560">
        <v>8</v>
      </c>
      <c r="AE7" s="560">
        <v>5</v>
      </c>
    </row>
    <row r="8" spans="1:31" s="1" customFormat="1" x14ac:dyDescent="0.25">
      <c r="A8" s="553"/>
      <c r="B8" s="555"/>
      <c r="C8" s="90" t="s">
        <v>238</v>
      </c>
      <c r="D8" s="91">
        <v>3</v>
      </c>
      <c r="E8" s="140"/>
      <c r="F8" s="140"/>
      <c r="G8" s="140"/>
      <c r="H8" s="140"/>
      <c r="I8" s="201"/>
      <c r="J8" s="140"/>
      <c r="K8" s="140"/>
      <c r="L8" s="140"/>
      <c r="M8" s="86">
        <f>SUMIF('Наставни ансамбл'!J378:J585,"Далибор Стевић",'Наставни ансамбл'!G378:G585)</f>
        <v>5</v>
      </c>
      <c r="N8" s="87">
        <f t="shared" ref="N8:N46" si="3">SUM(E8:M8)</f>
        <v>5</v>
      </c>
      <c r="O8" s="85"/>
      <c r="P8" s="85"/>
      <c r="Q8" s="85"/>
      <c r="R8" s="85"/>
      <c r="S8" s="85"/>
      <c r="T8" s="85"/>
      <c r="U8" s="85"/>
      <c r="V8" s="88">
        <f>SUMIF('Наставни ансамбл'!J378:J585,"Далибор Стевић",'Наставни ансамбл'!H378:H585)</f>
        <v>0</v>
      </c>
      <c r="W8" s="87">
        <f t="shared" si="0"/>
        <v>0</v>
      </c>
      <c r="X8" s="91">
        <f t="shared" si="1"/>
        <v>5</v>
      </c>
      <c r="Y8" s="93">
        <f t="shared" si="2"/>
        <v>166.66666666666669</v>
      </c>
      <c r="Z8" s="557"/>
      <c r="AA8" s="559"/>
      <c r="AB8" s="557"/>
      <c r="AC8" s="557"/>
      <c r="AD8" s="553"/>
      <c r="AE8" s="553"/>
    </row>
    <row r="9" spans="1:31" s="1" customFormat="1" x14ac:dyDescent="0.25">
      <c r="A9" s="578">
        <v>2</v>
      </c>
      <c r="B9" s="554" t="s">
        <v>239</v>
      </c>
      <c r="C9" s="83" t="s">
        <v>237</v>
      </c>
      <c r="D9" s="84">
        <v>6</v>
      </c>
      <c r="E9" s="85"/>
      <c r="F9" s="85"/>
      <c r="G9" s="85"/>
      <c r="H9" s="85"/>
      <c r="I9" s="85"/>
      <c r="J9" s="85"/>
      <c r="K9" s="85"/>
      <c r="L9" s="85"/>
      <c r="M9" s="120">
        <f>SUMIF('Наставни ансамбл'!J14:J220,"Владо Симеуновић",'Наставни ансамбл'!G14:G220)</f>
        <v>4</v>
      </c>
      <c r="N9" s="87">
        <f t="shared" si="3"/>
        <v>4</v>
      </c>
      <c r="O9" s="85"/>
      <c r="P9" s="85"/>
      <c r="Q9" s="85"/>
      <c r="R9" s="85"/>
      <c r="S9" s="85"/>
      <c r="T9" s="85"/>
      <c r="U9" s="85"/>
      <c r="V9" s="121">
        <f>SUMIF('Наставни ансамбл'!J14:J220,"Владо Симеуновић",'Наставни ансамбл'!H14:H220)</f>
        <v>0</v>
      </c>
      <c r="W9" s="87">
        <f t="shared" si="0"/>
        <v>0</v>
      </c>
      <c r="X9" s="130">
        <f t="shared" si="1"/>
        <v>4</v>
      </c>
      <c r="Y9" s="89">
        <f t="shared" si="2"/>
        <v>66.666666666666657</v>
      </c>
      <c r="Z9" s="556">
        <f>(X9+X10)/2</f>
        <v>6</v>
      </c>
      <c r="AA9" s="558">
        <f>Z9/D9*100</f>
        <v>100</v>
      </c>
      <c r="AB9" s="556">
        <f>IF(Z9&lt;=D9,Z9,D9)</f>
        <v>6</v>
      </c>
      <c r="AC9" s="556">
        <f>IF(Z9&gt;D9,Z9-D9,0)</f>
        <v>0</v>
      </c>
      <c r="AD9" s="560">
        <v>9</v>
      </c>
      <c r="AE9" s="560">
        <v>3</v>
      </c>
    </row>
    <row r="10" spans="1:31" s="1" customFormat="1" x14ac:dyDescent="0.25">
      <c r="A10" s="579"/>
      <c r="B10" s="555"/>
      <c r="C10" s="90" t="s">
        <v>238</v>
      </c>
      <c r="D10" s="91">
        <v>6</v>
      </c>
      <c r="E10" s="140"/>
      <c r="F10" s="140"/>
      <c r="G10" s="140"/>
      <c r="H10" s="140"/>
      <c r="I10" s="140"/>
      <c r="J10" s="140"/>
      <c r="K10" s="140"/>
      <c r="L10" s="140"/>
      <c r="M10" s="120">
        <f>SUMIF('Наставни ансамбл'!J378:J585,"Владо Симеуновић",'Наставни ансамбл'!G378:G585)</f>
        <v>8</v>
      </c>
      <c r="N10" s="87">
        <f t="shared" si="3"/>
        <v>8</v>
      </c>
      <c r="O10" s="85"/>
      <c r="P10" s="85"/>
      <c r="Q10" s="85"/>
      <c r="R10" s="85"/>
      <c r="S10" s="85"/>
      <c r="T10" s="85"/>
      <c r="U10" s="85"/>
      <c r="V10" s="88">
        <f>SUMIF('Наставни ансамбл'!J378:J585,"Владо Симеуновић",'Наставни ансамбл'!H378:H585)</f>
        <v>0</v>
      </c>
      <c r="W10" s="87">
        <f t="shared" si="0"/>
        <v>0</v>
      </c>
      <c r="X10" s="91">
        <f t="shared" si="1"/>
        <v>8</v>
      </c>
      <c r="Y10" s="93">
        <f t="shared" si="2"/>
        <v>133.33333333333331</v>
      </c>
      <c r="Z10" s="557"/>
      <c r="AA10" s="559"/>
      <c r="AB10" s="557"/>
      <c r="AC10" s="557"/>
      <c r="AD10" s="553"/>
      <c r="AE10" s="553"/>
    </row>
    <row r="11" spans="1:31" s="1" customFormat="1" x14ac:dyDescent="0.25">
      <c r="A11" s="552">
        <v>3</v>
      </c>
      <c r="B11" s="580" t="s">
        <v>244</v>
      </c>
      <c r="C11" s="83" t="s">
        <v>237</v>
      </c>
      <c r="D11" s="84">
        <v>6</v>
      </c>
      <c r="E11" s="85"/>
      <c r="F11" s="85"/>
      <c r="G11" s="85"/>
      <c r="H11" s="85"/>
      <c r="I11" s="85"/>
      <c r="J11" s="85"/>
      <c r="K11" s="85"/>
      <c r="L11" s="85"/>
      <c r="M11" s="120">
        <f>SUMIF('Наставни ансамбл'!J14:J220,"Десанка Тракиловић",'Наставни ансамбл'!G14:G220)</f>
        <v>2</v>
      </c>
      <c r="N11" s="87">
        <f t="shared" si="3"/>
        <v>2</v>
      </c>
      <c r="O11" s="85"/>
      <c r="P11" s="85"/>
      <c r="Q11" s="85"/>
      <c r="R11" s="85"/>
      <c r="S11" s="85"/>
      <c r="T11" s="85"/>
      <c r="U11" s="85"/>
      <c r="V11" s="88">
        <f>SUMIF('Наставни ансамбл'!J14:J220,"Десанка Тракиловић",'Наставни ансамбл'!H14:H220)</f>
        <v>0</v>
      </c>
      <c r="W11" s="87">
        <f t="shared" si="0"/>
        <v>0</v>
      </c>
      <c r="X11" s="84">
        <f t="shared" si="1"/>
        <v>2</v>
      </c>
      <c r="Y11" s="89">
        <f t="shared" si="2"/>
        <v>33.333333333333329</v>
      </c>
      <c r="Z11" s="556">
        <f>(X11+X12)/2</f>
        <v>3.6</v>
      </c>
      <c r="AA11" s="558">
        <f>Z11/D11*100</f>
        <v>60</v>
      </c>
      <c r="AB11" s="556">
        <f>IF(Z11&lt;=D11,Z11,D11)</f>
        <v>3.6</v>
      </c>
      <c r="AC11" s="556">
        <f>IF(Z11&gt;D11,Z11-D11,0)</f>
        <v>0</v>
      </c>
      <c r="AD11" s="560">
        <v>3</v>
      </c>
      <c r="AE11" s="560">
        <v>9</v>
      </c>
    </row>
    <row r="12" spans="1:31" s="1" customFormat="1" x14ac:dyDescent="0.25">
      <c r="A12" s="553"/>
      <c r="B12" s="581"/>
      <c r="C12" s="90" t="s">
        <v>238</v>
      </c>
      <c r="D12" s="91">
        <v>6</v>
      </c>
      <c r="E12" s="140"/>
      <c r="F12" s="140"/>
      <c r="G12" s="140"/>
      <c r="H12" s="140"/>
      <c r="I12" s="140"/>
      <c r="J12" s="140"/>
      <c r="K12" s="140"/>
      <c r="L12" s="140"/>
      <c r="M12" s="120">
        <f>SUMIF('Наставни ансамбл'!J378:J585,"Десанка Тракиловић",'Наставни ансамбл'!G378:G585)</f>
        <v>4</v>
      </c>
      <c r="N12" s="87">
        <f t="shared" si="3"/>
        <v>4</v>
      </c>
      <c r="O12" s="85"/>
      <c r="P12" s="85"/>
      <c r="Q12" s="85"/>
      <c r="R12" s="85"/>
      <c r="S12" s="85"/>
      <c r="T12" s="85"/>
      <c r="U12" s="85"/>
      <c r="V12" s="88">
        <f>SUMIF('Наставни ансамбл'!J378:J585,"Десанка Тракиловић",'Наставни ансамбл'!H378:H585)</f>
        <v>2</v>
      </c>
      <c r="W12" s="87">
        <f t="shared" si="0"/>
        <v>2</v>
      </c>
      <c r="X12" s="91">
        <f t="shared" si="1"/>
        <v>5.2</v>
      </c>
      <c r="Y12" s="93">
        <f t="shared" si="2"/>
        <v>86.666666666666671</v>
      </c>
      <c r="Z12" s="557"/>
      <c r="AA12" s="559"/>
      <c r="AB12" s="557"/>
      <c r="AC12" s="557"/>
      <c r="AD12" s="553"/>
      <c r="AE12" s="553"/>
    </row>
    <row r="13" spans="1:31" s="1" customFormat="1" x14ac:dyDescent="0.25">
      <c r="A13" s="552">
        <v>4</v>
      </c>
      <c r="B13" s="554" t="s">
        <v>248</v>
      </c>
      <c r="C13" s="83" t="s">
        <v>237</v>
      </c>
      <c r="D13" s="84">
        <v>6</v>
      </c>
      <c r="E13" s="85"/>
      <c r="F13" s="85"/>
      <c r="G13" s="85"/>
      <c r="H13" s="85"/>
      <c r="I13" s="85"/>
      <c r="J13" s="85"/>
      <c r="K13" s="118"/>
      <c r="L13" s="85"/>
      <c r="M13" s="86">
        <f>SUMIF('Наставни ансамбл'!J14:J220,"Драгица Милинковић",'Наставни ансамбл'!G14:G220)</f>
        <v>11</v>
      </c>
      <c r="N13" s="87">
        <f t="shared" si="3"/>
        <v>11</v>
      </c>
      <c r="O13" s="85"/>
      <c r="P13" s="85"/>
      <c r="Q13" s="85"/>
      <c r="R13" s="85"/>
      <c r="S13" s="85"/>
      <c r="T13" s="85"/>
      <c r="U13" s="85"/>
      <c r="V13" s="88">
        <f>SUMIF('Наставни ансамбл'!J14:J220,"Драгица Милинковић",'Наставни ансамбл'!H14:H220)</f>
        <v>7</v>
      </c>
      <c r="W13" s="87">
        <f t="shared" si="0"/>
        <v>7</v>
      </c>
      <c r="X13" s="84">
        <f t="shared" si="1"/>
        <v>15.2</v>
      </c>
      <c r="Y13" s="89">
        <f t="shared" si="2"/>
        <v>253.33333333333331</v>
      </c>
      <c r="Z13" s="556">
        <f>(X13+X14)/2</f>
        <v>13</v>
      </c>
      <c r="AA13" s="558">
        <f>Z13/D13*100</f>
        <v>216.66666666666666</v>
      </c>
      <c r="AB13" s="556">
        <f>IF(Z13&lt;=D13,Z13,D13)</f>
        <v>6</v>
      </c>
      <c r="AC13" s="556">
        <f>IF(Z13&gt;D13,Z13-D13,0)</f>
        <v>7</v>
      </c>
      <c r="AD13" s="560">
        <v>9</v>
      </c>
      <c r="AE13" s="560">
        <v>4</v>
      </c>
    </row>
    <row r="14" spans="1:31" s="1" customFormat="1" x14ac:dyDescent="0.25">
      <c r="A14" s="553"/>
      <c r="B14" s="555"/>
      <c r="C14" s="90" t="s">
        <v>238</v>
      </c>
      <c r="D14" s="91">
        <v>6</v>
      </c>
      <c r="E14" s="140"/>
      <c r="F14" s="140"/>
      <c r="G14" s="140"/>
      <c r="H14" s="140"/>
      <c r="I14" s="140"/>
      <c r="J14" s="140"/>
      <c r="K14" s="201"/>
      <c r="L14" s="140"/>
      <c r="M14" s="86">
        <f>SUMIF('Наставни ансамбл'!J378:J585,"Драгица Милинковић",'Наставни ансамбл'!G378:G585)</f>
        <v>9</v>
      </c>
      <c r="N14" s="87">
        <f t="shared" si="3"/>
        <v>9</v>
      </c>
      <c r="O14" s="85"/>
      <c r="P14" s="85"/>
      <c r="Q14" s="85"/>
      <c r="R14" s="85"/>
      <c r="S14" s="85"/>
      <c r="T14" s="85"/>
      <c r="U14" s="118"/>
      <c r="V14" s="88">
        <f>SUMIF('Наставни ансамбл'!J378:J585,"Драгица Милинковић",'Наставни ансамбл'!H378:H585)</f>
        <v>3</v>
      </c>
      <c r="W14" s="87">
        <f t="shared" si="0"/>
        <v>3</v>
      </c>
      <c r="X14" s="91">
        <f t="shared" si="1"/>
        <v>10.8</v>
      </c>
      <c r="Y14" s="93">
        <f t="shared" si="2"/>
        <v>180</v>
      </c>
      <c r="Z14" s="557"/>
      <c r="AA14" s="559"/>
      <c r="AB14" s="557"/>
      <c r="AC14" s="557"/>
      <c r="AD14" s="553"/>
      <c r="AE14" s="553"/>
    </row>
    <row r="15" spans="1:31" s="1" customFormat="1" x14ac:dyDescent="0.25">
      <c r="A15" s="552">
        <v>5</v>
      </c>
      <c r="B15" s="554" t="s">
        <v>247</v>
      </c>
      <c r="C15" s="83" t="s">
        <v>237</v>
      </c>
      <c r="D15" s="84">
        <v>6</v>
      </c>
      <c r="E15" s="85"/>
      <c r="F15" s="85"/>
      <c r="G15" s="85"/>
      <c r="H15" s="85"/>
      <c r="I15" s="85"/>
      <c r="J15" s="85"/>
      <c r="K15" s="85"/>
      <c r="L15" s="85"/>
      <c r="M15" s="86">
        <f>SUMIF('Наставни ансамбл'!J14:J220,"Сања Опсеница",'Наставни ансамбл'!G14:G220)</f>
        <v>4</v>
      </c>
      <c r="N15" s="87">
        <f t="shared" si="3"/>
        <v>4</v>
      </c>
      <c r="O15" s="85"/>
      <c r="P15" s="85"/>
      <c r="Q15" s="85"/>
      <c r="R15" s="85"/>
      <c r="S15" s="85"/>
      <c r="T15" s="85"/>
      <c r="U15" s="85"/>
      <c r="V15" s="88">
        <f>SUMIF('Наставни ансамбл'!J14:J220,"Сања Опсеница",'Наставни ансамбл'!H14:H220)</f>
        <v>4</v>
      </c>
      <c r="W15" s="87">
        <f t="shared" si="0"/>
        <v>4</v>
      </c>
      <c r="X15" s="84">
        <f t="shared" si="1"/>
        <v>6.4</v>
      </c>
      <c r="Y15" s="89">
        <f t="shared" si="2"/>
        <v>106.66666666666667</v>
      </c>
      <c r="Z15" s="556">
        <f>(X15+X16)/2</f>
        <v>6.9</v>
      </c>
      <c r="AA15" s="558">
        <f>Z15/D15*100</f>
        <v>115.00000000000001</v>
      </c>
      <c r="AB15" s="556">
        <f>IF(Z15&lt;=D15,Z15,D15)</f>
        <v>6</v>
      </c>
      <c r="AC15" s="556">
        <f>IF(Z15&gt;D15,Z15-D15,0)</f>
        <v>0.90000000000000036</v>
      </c>
      <c r="AD15" s="560">
        <v>3</v>
      </c>
      <c r="AE15" s="560">
        <v>3</v>
      </c>
    </row>
    <row r="16" spans="1:31" s="1" customFormat="1" x14ac:dyDescent="0.25">
      <c r="A16" s="553"/>
      <c r="B16" s="555"/>
      <c r="C16" s="90" t="s">
        <v>238</v>
      </c>
      <c r="D16" s="91">
        <v>6</v>
      </c>
      <c r="E16" s="140"/>
      <c r="F16" s="140"/>
      <c r="G16" s="140"/>
      <c r="H16" s="140"/>
      <c r="I16" s="140"/>
      <c r="J16" s="140"/>
      <c r="K16" s="140"/>
      <c r="L16" s="140"/>
      <c r="M16" s="86">
        <f>SUMIF('Наставни ансамбл'!J378:J585,"Сања Опсеница",'Наставни ансамбл'!G378:G585)</f>
        <v>5</v>
      </c>
      <c r="N16" s="87">
        <f t="shared" si="3"/>
        <v>5</v>
      </c>
      <c r="O16" s="85"/>
      <c r="P16" s="85"/>
      <c r="Q16" s="85"/>
      <c r="R16" s="85"/>
      <c r="S16" s="85"/>
      <c r="T16" s="85"/>
      <c r="U16" s="85"/>
      <c r="V16" s="88">
        <f>SUMIF('Наставни ансамбл'!J378:J585,"Сања Опсеница",'Наставни ансамбл'!H378:H585)</f>
        <v>4</v>
      </c>
      <c r="W16" s="87">
        <f t="shared" si="0"/>
        <v>4</v>
      </c>
      <c r="X16" s="91">
        <f t="shared" si="1"/>
        <v>7.4</v>
      </c>
      <c r="Y16" s="93">
        <f t="shared" si="2"/>
        <v>123.33333333333334</v>
      </c>
      <c r="Z16" s="557"/>
      <c r="AA16" s="559"/>
      <c r="AB16" s="557"/>
      <c r="AC16" s="557"/>
      <c r="AD16" s="553"/>
      <c r="AE16" s="553"/>
    </row>
    <row r="17" spans="1:39" s="1" customFormat="1" x14ac:dyDescent="0.25">
      <c r="A17" s="552">
        <v>6</v>
      </c>
      <c r="B17" s="582" t="s">
        <v>245</v>
      </c>
      <c r="C17" s="83" t="s">
        <v>237</v>
      </c>
      <c r="D17" s="84">
        <v>6</v>
      </c>
      <c r="E17" s="85"/>
      <c r="F17" s="85"/>
      <c r="G17" s="85"/>
      <c r="H17" s="85"/>
      <c r="I17" s="85"/>
      <c r="J17" s="85"/>
      <c r="K17" s="85"/>
      <c r="L17" s="85"/>
      <c r="M17" s="86">
        <f>SUMIF('Наставни ансамбл'!J14:J220,"Оливера Петровић",'Наставни ансамбл'!G14:G220)</f>
        <v>1</v>
      </c>
      <c r="N17" s="87">
        <f t="shared" si="3"/>
        <v>1</v>
      </c>
      <c r="O17" s="85"/>
      <c r="P17" s="85"/>
      <c r="Q17" s="85"/>
      <c r="R17" s="85"/>
      <c r="S17" s="85"/>
      <c r="T17" s="85"/>
      <c r="U17" s="85"/>
      <c r="V17" s="88">
        <f>SUMIF('Наставни ансамбл'!J14:J220,"Оливера Петровић",'Наставни ансамбл'!H14:H220)</f>
        <v>2</v>
      </c>
      <c r="W17" s="87">
        <f t="shared" si="0"/>
        <v>2</v>
      </c>
      <c r="X17" s="84">
        <f t="shared" si="1"/>
        <v>2.2000000000000002</v>
      </c>
      <c r="Y17" s="89">
        <f t="shared" si="2"/>
        <v>36.666666666666671</v>
      </c>
      <c r="Z17" s="556">
        <f>(X17+X18)/2</f>
        <v>6.6999999999999993</v>
      </c>
      <c r="AA17" s="558">
        <f>Z17/D17*100</f>
        <v>111.66666666666664</v>
      </c>
      <c r="AB17" s="556">
        <f>IF(Z17&lt;=D17,Z17,D17)</f>
        <v>6</v>
      </c>
      <c r="AC17" s="556">
        <f>IF(Z17&gt;D17,Z17-D17,0)</f>
        <v>0.69999999999999929</v>
      </c>
      <c r="AD17" s="560">
        <v>2</v>
      </c>
      <c r="AE17" s="560">
        <v>3</v>
      </c>
    </row>
    <row r="18" spans="1:39" s="1" customFormat="1" x14ac:dyDescent="0.25">
      <c r="A18" s="553"/>
      <c r="B18" s="555"/>
      <c r="C18" s="90" t="s">
        <v>238</v>
      </c>
      <c r="D18" s="91">
        <v>6</v>
      </c>
      <c r="E18" s="201"/>
      <c r="F18" s="140"/>
      <c r="G18" s="140"/>
      <c r="H18" s="140"/>
      <c r="I18" s="140"/>
      <c r="J18" s="140"/>
      <c r="K18" s="140"/>
      <c r="L18" s="201">
        <v>2</v>
      </c>
      <c r="M18" s="86">
        <f>SUMIF('Наставни ансамбл'!J378:J585,"Оливера Петровић",'Наставни ансамбл'!G378:G585)</f>
        <v>5</v>
      </c>
      <c r="N18" s="87">
        <f t="shared" si="3"/>
        <v>7</v>
      </c>
      <c r="O18" s="85"/>
      <c r="P18" s="85"/>
      <c r="Q18" s="85"/>
      <c r="R18" s="85"/>
      <c r="S18" s="85"/>
      <c r="T18" s="85"/>
      <c r="U18" s="85"/>
      <c r="V18" s="88">
        <f>SUMIF('Наставни ансамбл'!J378:J585,"Оливера Петровић",'Наставни ансамбл'!H378:H585)</f>
        <v>7</v>
      </c>
      <c r="W18" s="87">
        <f t="shared" si="0"/>
        <v>7</v>
      </c>
      <c r="X18" s="91">
        <f t="shared" si="1"/>
        <v>11.2</v>
      </c>
      <c r="Y18" s="93">
        <f t="shared" si="2"/>
        <v>186.66666666666666</v>
      </c>
      <c r="Z18" s="557"/>
      <c r="AA18" s="559"/>
      <c r="AB18" s="557"/>
      <c r="AC18" s="557"/>
      <c r="AD18" s="553"/>
      <c r="AE18" s="553"/>
    </row>
    <row r="19" spans="1:39" s="1" customFormat="1" x14ac:dyDescent="0.25">
      <c r="A19" s="552">
        <v>7</v>
      </c>
      <c r="B19" s="554" t="s">
        <v>246</v>
      </c>
      <c r="C19" s="83" t="s">
        <v>237</v>
      </c>
      <c r="D19" s="84">
        <v>6</v>
      </c>
      <c r="E19" s="118"/>
      <c r="F19" s="85"/>
      <c r="G19" s="85"/>
      <c r="H19" s="85"/>
      <c r="I19" s="85"/>
      <c r="J19" s="85"/>
      <c r="K19" s="85"/>
      <c r="L19" s="85"/>
      <c r="M19" s="86">
        <f>SUMIF('Наставни ансамбл'!J14:J220,"Татјана Думитрашковић",'Наставни ансамбл'!G14:G220)</f>
        <v>6</v>
      </c>
      <c r="N19" s="87">
        <f t="shared" si="3"/>
        <v>6</v>
      </c>
      <c r="O19" s="85"/>
      <c r="P19" s="85"/>
      <c r="Q19" s="85"/>
      <c r="R19" s="85"/>
      <c r="S19" s="85"/>
      <c r="T19" s="85"/>
      <c r="U19" s="85"/>
      <c r="V19" s="88">
        <f>SUMIF('Наставни ансамбл'!J14:J220,"Татјана Думитрашковић",'Наставни ансамбл'!H14:H220)</f>
        <v>5</v>
      </c>
      <c r="W19" s="87">
        <f t="shared" si="0"/>
        <v>5</v>
      </c>
      <c r="X19" s="84">
        <f t="shared" si="1"/>
        <v>9</v>
      </c>
      <c r="Y19" s="89">
        <f t="shared" si="2"/>
        <v>150</v>
      </c>
      <c r="Z19" s="556">
        <f>(X19+X20)/2</f>
        <v>5.6</v>
      </c>
      <c r="AA19" s="558">
        <f>Z19/D19*100</f>
        <v>93.333333333333329</v>
      </c>
      <c r="AB19" s="556">
        <f>IF(Z19&lt;=D19,Z19,D19)</f>
        <v>5.6</v>
      </c>
      <c r="AC19" s="556">
        <f>IF(Z19&gt;D19,Z19-D19,0)</f>
        <v>0</v>
      </c>
      <c r="AD19" s="560">
        <v>1</v>
      </c>
      <c r="AE19" s="560">
        <v>2</v>
      </c>
    </row>
    <row r="20" spans="1:39" s="1" customFormat="1" x14ac:dyDescent="0.25">
      <c r="A20" s="553"/>
      <c r="B20" s="555"/>
      <c r="C20" s="90" t="s">
        <v>238</v>
      </c>
      <c r="D20" s="91">
        <v>6</v>
      </c>
      <c r="E20" s="201"/>
      <c r="F20" s="140"/>
      <c r="G20" s="140"/>
      <c r="H20" s="140"/>
      <c r="I20" s="140"/>
      <c r="J20" s="140"/>
      <c r="K20" s="140"/>
      <c r="L20" s="140"/>
      <c r="M20" s="86">
        <f>SUMIF('Наставни ансамбл'!J378:J585,"Татјана Думитрашковић",'Наставни ансамбл'!G378:G585)</f>
        <v>1</v>
      </c>
      <c r="N20" s="87">
        <f t="shared" si="3"/>
        <v>1</v>
      </c>
      <c r="O20" s="85"/>
      <c r="P20" s="85"/>
      <c r="Q20" s="85"/>
      <c r="R20" s="85"/>
      <c r="S20" s="85"/>
      <c r="T20" s="85"/>
      <c r="U20" s="85"/>
      <c r="V20" s="88">
        <f>SUMIF('Наставни ансамбл'!J378:J585,"Татјана Думитрашковић",'Наставни ансамбл'!H378:H585)</f>
        <v>2</v>
      </c>
      <c r="W20" s="87">
        <f t="shared" si="0"/>
        <v>2</v>
      </c>
      <c r="X20" s="91">
        <f t="shared" si="1"/>
        <v>2.2000000000000002</v>
      </c>
      <c r="Y20" s="93">
        <f t="shared" si="2"/>
        <v>36.666666666666671</v>
      </c>
      <c r="Z20" s="557"/>
      <c r="AA20" s="559"/>
      <c r="AB20" s="557"/>
      <c r="AC20" s="557"/>
      <c r="AD20" s="553"/>
      <c r="AE20" s="553"/>
    </row>
    <row r="21" spans="1:39" s="1" customFormat="1" x14ac:dyDescent="0.25">
      <c r="A21" s="552">
        <v>8</v>
      </c>
      <c r="B21" s="554" t="s">
        <v>527</v>
      </c>
      <c r="C21" s="83" t="s">
        <v>237</v>
      </c>
      <c r="D21" s="84">
        <v>6</v>
      </c>
      <c r="E21" s="85"/>
      <c r="F21" s="85"/>
      <c r="G21" s="85"/>
      <c r="H21" s="85"/>
      <c r="I21" s="85"/>
      <c r="J21" s="85"/>
      <c r="K21" s="85"/>
      <c r="L21" s="85"/>
      <c r="M21" s="86">
        <f>SUMIF('Наставни ансамбл'!J14:J220,"Нина Ћеклић",'Наставни ансамбл'!G14:G220)</f>
        <v>4</v>
      </c>
      <c r="N21" s="87">
        <f t="shared" si="3"/>
        <v>4</v>
      </c>
      <c r="O21" s="85"/>
      <c r="P21" s="85"/>
      <c r="Q21" s="85"/>
      <c r="R21" s="85"/>
      <c r="S21" s="85"/>
      <c r="T21" s="85"/>
      <c r="U21" s="85"/>
      <c r="V21" s="88">
        <f>SUMIF('Наставни ансамбл'!J14:J220,"Нина Ћеклић",'Наставни ансамбл'!H14:H220)</f>
        <v>5</v>
      </c>
      <c r="W21" s="87">
        <f t="shared" si="0"/>
        <v>5</v>
      </c>
      <c r="X21" s="84">
        <f t="shared" si="1"/>
        <v>7</v>
      </c>
      <c r="Y21" s="89">
        <f t="shared" si="2"/>
        <v>116.66666666666667</v>
      </c>
      <c r="Z21" s="556">
        <f>(X21+X22)/2</f>
        <v>8.1</v>
      </c>
      <c r="AA21" s="558">
        <f>Z21/D21*100</f>
        <v>135</v>
      </c>
      <c r="AB21" s="556">
        <f>IF(Z21&lt;=D21,Z21,D21)</f>
        <v>6</v>
      </c>
      <c r="AC21" s="556">
        <f>IF(Z21&gt;D21,Z21-D21,0)</f>
        <v>2.0999999999999996</v>
      </c>
      <c r="AD21" s="560">
        <v>3</v>
      </c>
      <c r="AE21" s="560">
        <v>5</v>
      </c>
      <c r="AH21" s="98"/>
      <c r="AI21" s="99"/>
      <c r="AJ21" s="99"/>
      <c r="AK21" s="99"/>
      <c r="AL21" s="99"/>
      <c r="AM21" s="99"/>
    </row>
    <row r="22" spans="1:39" s="1" customFormat="1" x14ac:dyDescent="0.25">
      <c r="A22" s="553"/>
      <c r="B22" s="555"/>
      <c r="C22" s="90" t="s">
        <v>238</v>
      </c>
      <c r="D22" s="91">
        <v>6</v>
      </c>
      <c r="E22" s="140"/>
      <c r="F22" s="140"/>
      <c r="G22" s="140"/>
      <c r="H22" s="140"/>
      <c r="I22" s="140"/>
      <c r="J22" s="140"/>
      <c r="K22" s="140"/>
      <c r="L22" s="140"/>
      <c r="M22" s="86">
        <f>SUMIF('Наставни ансамбл'!J378:J585,"Нина Ћеклић",'Наставни ансамбл'!G378:G585)</f>
        <v>5</v>
      </c>
      <c r="N22" s="87">
        <f t="shared" si="3"/>
        <v>5</v>
      </c>
      <c r="O22" s="85"/>
      <c r="P22" s="85"/>
      <c r="Q22" s="85"/>
      <c r="R22" s="85"/>
      <c r="S22" s="85"/>
      <c r="T22" s="85"/>
      <c r="U22" s="85"/>
      <c r="V22" s="88">
        <f>SUMIF('Наставни ансамбл'!J378:J585,"Нина Ћеклић",'Наставни ансамбл'!H378:H585)</f>
        <v>7</v>
      </c>
      <c r="W22" s="87">
        <f t="shared" si="0"/>
        <v>7</v>
      </c>
      <c r="X22" s="91">
        <f t="shared" si="1"/>
        <v>9.1999999999999993</v>
      </c>
      <c r="Y22" s="93">
        <f t="shared" si="2"/>
        <v>153.33333333333331</v>
      </c>
      <c r="Z22" s="557"/>
      <c r="AA22" s="559"/>
      <c r="AB22" s="557"/>
      <c r="AC22" s="557"/>
      <c r="AD22" s="553"/>
      <c r="AE22" s="553"/>
      <c r="AH22" s="98"/>
      <c r="AI22" s="99"/>
      <c r="AJ22" s="99"/>
      <c r="AK22" s="99"/>
      <c r="AL22" s="99"/>
      <c r="AM22" s="99"/>
    </row>
    <row r="23" spans="1:39" s="1" customFormat="1" x14ac:dyDescent="0.25">
      <c r="A23" s="552">
        <v>9</v>
      </c>
      <c r="B23" s="554" t="s">
        <v>249</v>
      </c>
      <c r="C23" s="83" t="s">
        <v>237</v>
      </c>
      <c r="D23" s="84">
        <v>6</v>
      </c>
      <c r="E23" s="85"/>
      <c r="F23" s="85"/>
      <c r="G23" s="85"/>
      <c r="H23" s="85"/>
      <c r="I23" s="85"/>
      <c r="J23" s="85"/>
      <c r="K23" s="85"/>
      <c r="L23" s="85"/>
      <c r="M23" s="86">
        <f>SUMIF('Наставни ансамбл'!J14:J220,"Милена Ивановић",'Наставни ансамбл'!G14:G220)</f>
        <v>4</v>
      </c>
      <c r="N23" s="87">
        <f t="shared" si="3"/>
        <v>4</v>
      </c>
      <c r="O23" s="85"/>
      <c r="P23" s="85"/>
      <c r="Q23" s="85"/>
      <c r="R23" s="85"/>
      <c r="S23" s="85"/>
      <c r="T23" s="85"/>
      <c r="U23" s="85"/>
      <c r="V23" s="88">
        <f>SUMIF('Наставни ансамбл'!J14:J220,"Милена Ивановић",'Наставни ансамбл'!H14:H220)</f>
        <v>6</v>
      </c>
      <c r="W23" s="87">
        <f t="shared" si="0"/>
        <v>6</v>
      </c>
      <c r="X23" s="84">
        <f t="shared" si="1"/>
        <v>7.6</v>
      </c>
      <c r="Y23" s="89">
        <f t="shared" si="2"/>
        <v>126.66666666666666</v>
      </c>
      <c r="Z23" s="556">
        <f>(X23+X24)/2</f>
        <v>10.8</v>
      </c>
      <c r="AA23" s="558">
        <f>Z23/D23*100</f>
        <v>180</v>
      </c>
      <c r="AB23" s="556">
        <f>IF(Z23&lt;=D23,Z23,D23)</f>
        <v>6</v>
      </c>
      <c r="AC23" s="556">
        <f>IF(Z23&gt;D23,Z23-D23,0)</f>
        <v>4.8000000000000007</v>
      </c>
      <c r="AD23" s="560">
        <v>0</v>
      </c>
      <c r="AE23" s="560">
        <v>0</v>
      </c>
    </row>
    <row r="24" spans="1:39" s="1" customFormat="1" x14ac:dyDescent="0.25">
      <c r="A24" s="585"/>
      <c r="B24" s="586"/>
      <c r="C24" s="90" t="s">
        <v>238</v>
      </c>
      <c r="D24" s="94">
        <v>6</v>
      </c>
      <c r="E24" s="202"/>
      <c r="F24" s="202"/>
      <c r="G24" s="202"/>
      <c r="H24" s="202"/>
      <c r="I24" s="202"/>
      <c r="J24" s="202"/>
      <c r="K24" s="202"/>
      <c r="L24" s="202"/>
      <c r="M24" s="95">
        <f>SUMIF('Наставни ансамбл'!J378:J585,"Милена Ивановић",'Наставни ансамбл'!G378:G585)</f>
        <v>8</v>
      </c>
      <c r="N24" s="87">
        <f t="shared" si="3"/>
        <v>8</v>
      </c>
      <c r="O24" s="96"/>
      <c r="P24" s="96"/>
      <c r="Q24" s="96"/>
      <c r="R24" s="96"/>
      <c r="S24" s="96"/>
      <c r="T24" s="96"/>
      <c r="U24" s="96"/>
      <c r="V24" s="97">
        <f>SUMIF('Наставни ансамбл'!J378:J585,"Милена Ивановић",'Наставни ансамбл'!H378:H585)</f>
        <v>10</v>
      </c>
      <c r="W24" s="87">
        <f t="shared" si="0"/>
        <v>10</v>
      </c>
      <c r="X24" s="91">
        <f t="shared" si="1"/>
        <v>14</v>
      </c>
      <c r="Y24" s="93">
        <f t="shared" si="2"/>
        <v>233.33333333333334</v>
      </c>
      <c r="Z24" s="557"/>
      <c r="AA24" s="559"/>
      <c r="AB24" s="557"/>
      <c r="AC24" s="557"/>
      <c r="AD24" s="553"/>
      <c r="AE24" s="553"/>
    </row>
    <row r="25" spans="1:39" s="1" customFormat="1" x14ac:dyDescent="0.25">
      <c r="A25" s="552">
        <v>10</v>
      </c>
      <c r="B25" s="582" t="s">
        <v>259</v>
      </c>
      <c r="C25" s="83" t="s">
        <v>237</v>
      </c>
      <c r="D25" s="84">
        <v>6</v>
      </c>
      <c r="E25" s="85"/>
      <c r="F25" s="85"/>
      <c r="G25" s="85"/>
      <c r="H25" s="85"/>
      <c r="I25" s="85"/>
      <c r="J25" s="85"/>
      <c r="K25" s="85"/>
      <c r="L25" s="85"/>
      <c r="M25" s="86">
        <f>SUMIF('Наставни ансамбл'!J14:J220,"Драгана Радивојевић",'Наставни ансамбл'!G14:G220)</f>
        <v>3</v>
      </c>
      <c r="N25" s="87">
        <f t="shared" si="3"/>
        <v>3</v>
      </c>
      <c r="O25" s="85"/>
      <c r="P25" s="85"/>
      <c r="Q25" s="85"/>
      <c r="R25" s="85"/>
      <c r="S25" s="85"/>
      <c r="T25" s="85"/>
      <c r="U25" s="85"/>
      <c r="V25" s="88">
        <f>SUMIF('Наставни ансамбл'!J14:J220,"Драгана Радивојевић",'Наставни ансамбл'!H14:H220)</f>
        <v>4</v>
      </c>
      <c r="W25" s="87">
        <f t="shared" si="0"/>
        <v>4</v>
      </c>
      <c r="X25" s="130">
        <f t="shared" si="1"/>
        <v>5.4</v>
      </c>
      <c r="Y25" s="113">
        <f t="shared" si="2"/>
        <v>90</v>
      </c>
      <c r="Z25" s="556">
        <f>(X25+X26)/2</f>
        <v>6.7</v>
      </c>
      <c r="AA25" s="558">
        <f>Z25/D25*100</f>
        <v>111.66666666666667</v>
      </c>
      <c r="AB25" s="556">
        <f>IF(Z25&lt;=D25,Z25,D25)</f>
        <v>6</v>
      </c>
      <c r="AC25" s="556">
        <f>IF(Z25&gt;D25,Z25-D25,0)</f>
        <v>0.70000000000000018</v>
      </c>
      <c r="AD25" s="552">
        <v>3</v>
      </c>
      <c r="AE25" s="552">
        <v>5</v>
      </c>
      <c r="AH25" s="98"/>
      <c r="AI25" s="99"/>
      <c r="AJ25" s="99"/>
      <c r="AK25" s="99"/>
      <c r="AL25" s="99"/>
      <c r="AM25" s="99"/>
    </row>
    <row r="26" spans="1:39" s="1" customFormat="1" x14ac:dyDescent="0.25">
      <c r="A26" s="583"/>
      <c r="B26" s="584"/>
      <c r="C26" s="90" t="s">
        <v>238</v>
      </c>
      <c r="D26" s="91">
        <v>6</v>
      </c>
      <c r="E26" s="140"/>
      <c r="F26" s="140"/>
      <c r="G26" s="140"/>
      <c r="H26" s="140"/>
      <c r="I26" s="140"/>
      <c r="J26" s="140"/>
      <c r="K26" s="140"/>
      <c r="L26" s="140"/>
      <c r="M26" s="86">
        <f>SUMIF('Наставни ансамбл'!J378:J585,"Драгана Радивојевић",'Наставни ансамбл'!G378:G585)</f>
        <v>5</v>
      </c>
      <c r="N26" s="87">
        <f t="shared" si="3"/>
        <v>5</v>
      </c>
      <c r="O26" s="85"/>
      <c r="P26" s="85"/>
      <c r="Q26" s="85"/>
      <c r="R26" s="85"/>
      <c r="S26" s="85"/>
      <c r="T26" s="85"/>
      <c r="U26" s="85"/>
      <c r="V26" s="88">
        <f>SUMIF('Наставни ансамбл'!J378:J585,"Драгана Радивојевић",'Наставни ансамбл'!H378:H585)</f>
        <v>5</v>
      </c>
      <c r="W26" s="87">
        <f t="shared" si="0"/>
        <v>5</v>
      </c>
      <c r="X26" s="91">
        <f t="shared" si="1"/>
        <v>8</v>
      </c>
      <c r="Y26" s="93">
        <f t="shared" si="2"/>
        <v>133.33333333333331</v>
      </c>
      <c r="Z26" s="557"/>
      <c r="AA26" s="559"/>
      <c r="AB26" s="557"/>
      <c r="AC26" s="557"/>
      <c r="AD26" s="583"/>
      <c r="AE26" s="583"/>
      <c r="AH26" s="98"/>
      <c r="AI26" s="99"/>
      <c r="AJ26" s="99"/>
      <c r="AK26" s="99"/>
      <c r="AL26" s="99"/>
      <c r="AM26" s="99"/>
    </row>
    <row r="27" spans="1:39" s="1" customFormat="1" x14ac:dyDescent="0.25">
      <c r="A27" s="552">
        <v>11</v>
      </c>
      <c r="B27" s="582" t="s">
        <v>196</v>
      </c>
      <c r="C27" s="83" t="s">
        <v>237</v>
      </c>
      <c r="D27" s="84">
        <v>6</v>
      </c>
      <c r="E27" s="85"/>
      <c r="F27" s="85"/>
      <c r="G27" s="85"/>
      <c r="H27" s="85"/>
      <c r="I27" s="85"/>
      <c r="J27" s="85"/>
      <c r="K27" s="85"/>
      <c r="L27" s="85"/>
      <c r="M27" s="86">
        <f>SUMIF('Наставни ансамбл'!J14:J220,"Сања Милић",'Наставни ансамбл'!G14:G220)</f>
        <v>2</v>
      </c>
      <c r="N27" s="87">
        <f t="shared" si="3"/>
        <v>2</v>
      </c>
      <c r="O27" s="85"/>
      <c r="P27" s="85"/>
      <c r="Q27" s="85"/>
      <c r="R27" s="85"/>
      <c r="S27" s="85"/>
      <c r="T27" s="85"/>
      <c r="U27" s="85"/>
      <c r="V27" s="88">
        <f>SUMIF('Наставни ансамбл'!J14:J220,"Сања Милић",'Наставни ансамбл'!H14:H220)</f>
        <v>6</v>
      </c>
      <c r="W27" s="87">
        <f t="shared" si="0"/>
        <v>6</v>
      </c>
      <c r="X27" s="84">
        <f>N27+(W27*0.6)</f>
        <v>5.6</v>
      </c>
      <c r="Y27" s="89">
        <f t="shared" si="2"/>
        <v>93.333333333333329</v>
      </c>
      <c r="Z27" s="556">
        <f>(X27+X28)/2</f>
        <v>9.6</v>
      </c>
      <c r="AA27" s="558">
        <f>Z27/D27*100</f>
        <v>160</v>
      </c>
      <c r="AB27" s="556">
        <f>IF(Z27&lt;=D27,Z27,D27)</f>
        <v>6</v>
      </c>
      <c r="AC27" s="556">
        <f>IF(Z27&gt;D27,Z27-D27,0)</f>
        <v>3.5999999999999996</v>
      </c>
      <c r="AD27" s="560">
        <v>4</v>
      </c>
      <c r="AE27" s="560">
        <v>4</v>
      </c>
      <c r="AH27" s="98"/>
      <c r="AI27" s="99"/>
      <c r="AJ27" s="99"/>
      <c r="AK27" s="99"/>
      <c r="AL27" s="99"/>
      <c r="AM27" s="99"/>
    </row>
    <row r="28" spans="1:39" s="1" customFormat="1" x14ac:dyDescent="0.25">
      <c r="A28" s="553"/>
      <c r="B28" s="555"/>
      <c r="C28" s="90" t="s">
        <v>238</v>
      </c>
      <c r="D28" s="91">
        <v>6</v>
      </c>
      <c r="E28" s="140"/>
      <c r="F28" s="201">
        <v>4</v>
      </c>
      <c r="G28" s="140"/>
      <c r="H28" s="140"/>
      <c r="I28" s="140"/>
      <c r="J28" s="140"/>
      <c r="K28" s="140"/>
      <c r="L28" s="140"/>
      <c r="M28" s="86">
        <f>SUMIF('Наставни ансамбл'!J378:J585,"Сања Милић",'Наставни ансамбл'!G378:G585)</f>
        <v>6</v>
      </c>
      <c r="N28" s="87">
        <f t="shared" si="3"/>
        <v>10</v>
      </c>
      <c r="O28" s="85"/>
      <c r="P28" s="85"/>
      <c r="Q28" s="85"/>
      <c r="R28" s="85"/>
      <c r="S28" s="85"/>
      <c r="T28" s="85"/>
      <c r="U28" s="85"/>
      <c r="V28" s="88">
        <f>SUMIF('Наставни ансамбл'!J378:J585,"Сања Милић",'Наставни ансамбл'!H378:H585)</f>
        <v>6</v>
      </c>
      <c r="W28" s="87">
        <f t="shared" si="0"/>
        <v>6</v>
      </c>
      <c r="X28" s="91">
        <f>N28+(W28*0.6)</f>
        <v>13.6</v>
      </c>
      <c r="Y28" s="93">
        <f t="shared" si="2"/>
        <v>226.66666666666666</v>
      </c>
      <c r="Z28" s="557"/>
      <c r="AA28" s="559"/>
      <c r="AB28" s="557"/>
      <c r="AC28" s="557"/>
      <c r="AD28" s="553"/>
      <c r="AE28" s="553"/>
      <c r="AH28" s="98"/>
      <c r="AI28" s="99"/>
      <c r="AJ28" s="99"/>
      <c r="AK28" s="99"/>
      <c r="AL28" s="99"/>
      <c r="AM28" s="99"/>
    </row>
    <row r="29" spans="1:39" s="1" customFormat="1" ht="15" customHeight="1" x14ac:dyDescent="0.25">
      <c r="A29" s="552">
        <v>12</v>
      </c>
      <c r="B29" s="554" t="s">
        <v>258</v>
      </c>
      <c r="C29" s="83" t="s">
        <v>237</v>
      </c>
      <c r="D29" s="84">
        <v>6</v>
      </c>
      <c r="E29" s="85"/>
      <c r="F29" s="85"/>
      <c r="G29" s="85"/>
      <c r="H29" s="85"/>
      <c r="I29" s="85"/>
      <c r="J29" s="85"/>
      <c r="K29" s="85"/>
      <c r="L29" s="85"/>
      <c r="M29" s="120">
        <f>SUMIF('Наставни ансамбл'!J14:J220,"Марица Травар",'Наставни ансамбл'!G14:G220)</f>
        <v>3</v>
      </c>
      <c r="N29" s="87">
        <f t="shared" si="3"/>
        <v>3</v>
      </c>
      <c r="O29" s="85"/>
      <c r="P29" s="85"/>
      <c r="Q29" s="85"/>
      <c r="R29" s="85"/>
      <c r="S29" s="85"/>
      <c r="T29" s="85"/>
      <c r="U29" s="85"/>
      <c r="V29" s="88">
        <f>SUMIF('Наставни ансамбл'!J14:J220,"Марица Травар",'Наставни ансамбл'!H14:H220)</f>
        <v>3</v>
      </c>
      <c r="W29" s="87">
        <f t="shared" si="0"/>
        <v>3</v>
      </c>
      <c r="X29" s="84">
        <f t="shared" ref="X29:X46" si="4">N29+(W29*0.6)</f>
        <v>4.8</v>
      </c>
      <c r="Y29" s="89">
        <f t="shared" si="2"/>
        <v>80</v>
      </c>
      <c r="Z29" s="556">
        <f>(X29+X30)/2</f>
        <v>7.8000000000000007</v>
      </c>
      <c r="AA29" s="558">
        <f>Z29/D29*100</f>
        <v>130</v>
      </c>
      <c r="AB29" s="556">
        <f>IF(Z29&lt;=D29,Z29,D29)</f>
        <v>6</v>
      </c>
      <c r="AC29" s="556">
        <f>IF(Z29&gt;D29,Z29-D29,0)</f>
        <v>1.8000000000000007</v>
      </c>
      <c r="AD29" s="560">
        <v>1</v>
      </c>
      <c r="AE29" s="560">
        <v>4</v>
      </c>
    </row>
    <row r="30" spans="1:39" s="1" customFormat="1" x14ac:dyDescent="0.25">
      <c r="A30" s="553"/>
      <c r="B30" s="555"/>
      <c r="C30" s="90" t="s">
        <v>238</v>
      </c>
      <c r="D30" s="91">
        <v>6</v>
      </c>
      <c r="E30" s="140"/>
      <c r="F30" s="140"/>
      <c r="G30" s="140"/>
      <c r="H30" s="140"/>
      <c r="I30" s="140"/>
      <c r="J30" s="140"/>
      <c r="K30" s="140"/>
      <c r="L30" s="140"/>
      <c r="M30" s="120">
        <f>SUMIF('Наставни ансамбл'!J378:J585,"Марица Травар",'Наставни ансамбл'!G378:G585)</f>
        <v>6</v>
      </c>
      <c r="N30" s="87">
        <f t="shared" si="3"/>
        <v>6</v>
      </c>
      <c r="O30" s="85"/>
      <c r="P30" s="85"/>
      <c r="Q30" s="85"/>
      <c r="R30" s="85"/>
      <c r="S30" s="85"/>
      <c r="T30" s="85"/>
      <c r="U30" s="85"/>
      <c r="V30" s="88">
        <f>SUMIF('Наставни ансамбл'!J378:J585,"Марица Травар",'Наставни ансамбл'!H378:H585)</f>
        <v>8</v>
      </c>
      <c r="W30" s="87">
        <f t="shared" si="0"/>
        <v>8</v>
      </c>
      <c r="X30" s="91">
        <f t="shared" si="4"/>
        <v>10.8</v>
      </c>
      <c r="Y30" s="93">
        <f t="shared" si="2"/>
        <v>180</v>
      </c>
      <c r="Z30" s="557"/>
      <c r="AA30" s="559"/>
      <c r="AB30" s="557"/>
      <c r="AC30" s="557"/>
      <c r="AD30" s="553"/>
      <c r="AE30" s="553"/>
    </row>
    <row r="31" spans="1:39" s="1" customFormat="1" x14ac:dyDescent="0.25">
      <c r="A31" s="552">
        <v>13</v>
      </c>
      <c r="B31" s="587" t="s">
        <v>250</v>
      </c>
      <c r="C31" s="83" t="s">
        <v>237</v>
      </c>
      <c r="D31" s="84">
        <v>6</v>
      </c>
      <c r="E31" s="85"/>
      <c r="F31" s="85"/>
      <c r="G31" s="85"/>
      <c r="H31" s="85"/>
      <c r="I31" s="85"/>
      <c r="J31" s="85"/>
      <c r="K31" s="85"/>
      <c r="L31" s="85"/>
      <c r="M31" s="86">
        <f>SUMIF('Наставни ансамбл'!J14:J220,"Гордана Спасојевић-Стојановић",'Наставни ансамбл'!G14:G220)</f>
        <v>0</v>
      </c>
      <c r="N31" s="87">
        <f t="shared" si="3"/>
        <v>0</v>
      </c>
      <c r="O31" s="85"/>
      <c r="P31" s="85"/>
      <c r="Q31" s="85"/>
      <c r="R31" s="85"/>
      <c r="S31" s="85"/>
      <c r="T31" s="85"/>
      <c r="U31" s="85"/>
      <c r="V31" s="88">
        <f>SUMIF('Наставни ансамбл'!J14:J220,"Гордана Спасојевић-Стојановић",'Наставни ансамбл'!H14:H220)</f>
        <v>3</v>
      </c>
      <c r="W31" s="87">
        <f t="shared" si="0"/>
        <v>3</v>
      </c>
      <c r="X31" s="84">
        <f t="shared" si="4"/>
        <v>1.7999999999999998</v>
      </c>
      <c r="Y31" s="89">
        <f t="shared" si="2"/>
        <v>30</v>
      </c>
      <c r="Z31" s="556">
        <f>(X31+X32)/2</f>
        <v>3.4</v>
      </c>
      <c r="AA31" s="558">
        <f>Z31/D31*100</f>
        <v>56.666666666666664</v>
      </c>
      <c r="AB31" s="556">
        <f>IF(Z31&lt;=D31,Z31,D31)</f>
        <v>3.4</v>
      </c>
      <c r="AC31" s="556">
        <f>IF(Z31&gt;D31,Z31-D31,0)</f>
        <v>0</v>
      </c>
      <c r="AD31" s="560">
        <v>3</v>
      </c>
      <c r="AE31" s="560">
        <v>4</v>
      </c>
      <c r="AH31" s="98"/>
      <c r="AI31" s="99"/>
      <c r="AJ31" s="99"/>
      <c r="AK31" s="99"/>
      <c r="AL31" s="99"/>
      <c r="AM31" s="99"/>
    </row>
    <row r="32" spans="1:39" s="1" customFormat="1" x14ac:dyDescent="0.25">
      <c r="A32" s="553"/>
      <c r="B32" s="581"/>
      <c r="C32" s="90" t="s">
        <v>238</v>
      </c>
      <c r="D32" s="91">
        <v>6</v>
      </c>
      <c r="E32" s="140"/>
      <c r="F32" s="140"/>
      <c r="G32" s="140"/>
      <c r="H32" s="140"/>
      <c r="I32" s="140"/>
      <c r="J32" s="140"/>
      <c r="K32" s="140"/>
      <c r="L32" s="140"/>
      <c r="M32" s="86">
        <f>SUMIF('Наставни ансамбл'!J378:J585,"Гордана Спасојевић-Стојановић",'Наставни ансамбл'!G378:G585)</f>
        <v>2</v>
      </c>
      <c r="N32" s="87">
        <f t="shared" si="3"/>
        <v>2</v>
      </c>
      <c r="O32" s="85"/>
      <c r="P32" s="85"/>
      <c r="Q32" s="85"/>
      <c r="R32" s="85"/>
      <c r="S32" s="85"/>
      <c r="T32" s="85"/>
      <c r="U32" s="85"/>
      <c r="V32" s="88">
        <f>SUMIF('Наставни ансамбл'!J378:J585,"Гордана Спасојевић-Стојановић",'Наставни ансамбл'!H378:H585)</f>
        <v>5</v>
      </c>
      <c r="W32" s="87">
        <f t="shared" si="0"/>
        <v>5</v>
      </c>
      <c r="X32" s="91">
        <f t="shared" si="4"/>
        <v>5</v>
      </c>
      <c r="Y32" s="93">
        <f t="shared" si="2"/>
        <v>83.333333333333343</v>
      </c>
      <c r="Z32" s="557"/>
      <c r="AA32" s="559"/>
      <c r="AB32" s="557"/>
      <c r="AC32" s="557"/>
      <c r="AD32" s="553"/>
      <c r="AE32" s="553"/>
      <c r="AH32" s="98"/>
      <c r="AI32" s="99"/>
      <c r="AJ32" s="99"/>
      <c r="AK32" s="99"/>
      <c r="AL32" s="99"/>
      <c r="AM32" s="99"/>
    </row>
    <row r="33" spans="1:39" s="1" customFormat="1" x14ac:dyDescent="0.25">
      <c r="A33" s="552">
        <v>14</v>
      </c>
      <c r="B33" s="580" t="s">
        <v>260</v>
      </c>
      <c r="C33" s="83" t="s">
        <v>237</v>
      </c>
      <c r="D33" s="84">
        <v>6</v>
      </c>
      <c r="E33" s="92"/>
      <c r="F33" s="92"/>
      <c r="G33" s="119">
        <v>4</v>
      </c>
      <c r="H33" s="119"/>
      <c r="I33" s="92"/>
      <c r="J33" s="92"/>
      <c r="K33" s="92"/>
      <c r="L33" s="92"/>
      <c r="M33" s="86">
        <f>SUMIF('Наставни ансамбл'!J14:J220,"Љубо Шкиљевић",'Наставни ансамбл'!G14:G220)</f>
        <v>4</v>
      </c>
      <c r="N33" s="87">
        <f t="shared" si="3"/>
        <v>8</v>
      </c>
      <c r="O33" s="85"/>
      <c r="P33" s="85"/>
      <c r="Q33" s="85"/>
      <c r="R33" s="85"/>
      <c r="S33" s="85"/>
      <c r="T33" s="85"/>
      <c r="U33" s="85"/>
      <c r="V33" s="88">
        <f>SUMIF('Наставни ансамбл'!J14:J220,"Љубо Шкиљевић",'Наставни ансамбл'!H14:H220)</f>
        <v>6</v>
      </c>
      <c r="W33" s="87">
        <f t="shared" si="0"/>
        <v>6</v>
      </c>
      <c r="X33" s="84">
        <f t="shared" si="4"/>
        <v>11.6</v>
      </c>
      <c r="Y33" s="89">
        <f t="shared" si="2"/>
        <v>193.33333333333334</v>
      </c>
      <c r="Z33" s="556">
        <f>(X33+X34)/2</f>
        <v>11.8</v>
      </c>
      <c r="AA33" s="558">
        <f>Z33/D33*100</f>
        <v>196.66666666666669</v>
      </c>
      <c r="AB33" s="556">
        <f>IF(Z33&lt;=D33,Z33,D33)</f>
        <v>6</v>
      </c>
      <c r="AC33" s="556">
        <f>IF(Z33&gt;D33,Z33-D33,0)</f>
        <v>5.8000000000000007</v>
      </c>
      <c r="AD33" s="560">
        <v>3</v>
      </c>
      <c r="AE33" s="560">
        <v>4</v>
      </c>
      <c r="AH33" s="98"/>
      <c r="AI33" s="99"/>
      <c r="AJ33" s="99"/>
      <c r="AK33" s="99"/>
      <c r="AL33" s="99"/>
      <c r="AM33" s="99"/>
    </row>
    <row r="34" spans="1:39" s="1" customFormat="1" x14ac:dyDescent="0.25">
      <c r="A34" s="583"/>
      <c r="B34" s="581"/>
      <c r="C34" s="90" t="s">
        <v>238</v>
      </c>
      <c r="D34" s="91">
        <v>6</v>
      </c>
      <c r="E34" s="140"/>
      <c r="F34" s="140"/>
      <c r="G34" s="201">
        <v>4</v>
      </c>
      <c r="H34" s="201"/>
      <c r="I34" s="140"/>
      <c r="J34" s="140"/>
      <c r="K34" s="140"/>
      <c r="L34" s="140"/>
      <c r="M34" s="86">
        <f>SUMIF('Наставни ансамбл'!J378:J585,"Љубо Шкиљевић",'Наставни ансамбл'!G378:G585)</f>
        <v>5</v>
      </c>
      <c r="N34" s="87">
        <f t="shared" si="3"/>
        <v>9</v>
      </c>
      <c r="O34" s="85"/>
      <c r="P34" s="85"/>
      <c r="Q34" s="85"/>
      <c r="R34" s="85"/>
      <c r="S34" s="85"/>
      <c r="T34" s="85"/>
      <c r="U34" s="85"/>
      <c r="V34" s="88">
        <f>SUMIF('Наставни ансамбл'!J378:J585,"Љубо Шкиљевић",'Наставни ансамбл'!H378:H585)</f>
        <v>5</v>
      </c>
      <c r="W34" s="87">
        <f t="shared" si="0"/>
        <v>5</v>
      </c>
      <c r="X34" s="91">
        <f t="shared" si="4"/>
        <v>12</v>
      </c>
      <c r="Y34" s="93">
        <f t="shared" si="2"/>
        <v>200</v>
      </c>
      <c r="Z34" s="557"/>
      <c r="AA34" s="559"/>
      <c r="AB34" s="557"/>
      <c r="AC34" s="557"/>
      <c r="AD34" s="553"/>
      <c r="AE34" s="553"/>
      <c r="AH34" s="98"/>
      <c r="AI34" s="99"/>
      <c r="AJ34" s="99"/>
      <c r="AK34" s="99"/>
      <c r="AL34" s="99"/>
      <c r="AM34" s="99"/>
    </row>
    <row r="35" spans="1:39" s="1" customFormat="1" x14ac:dyDescent="0.25">
      <c r="A35" s="588">
        <v>15</v>
      </c>
      <c r="B35" s="554" t="s">
        <v>210</v>
      </c>
      <c r="C35" s="83" t="s">
        <v>237</v>
      </c>
      <c r="D35" s="84">
        <v>6</v>
      </c>
      <c r="E35" s="85"/>
      <c r="F35" s="85"/>
      <c r="G35" s="85"/>
      <c r="H35" s="85"/>
      <c r="I35" s="85"/>
      <c r="J35" s="85"/>
      <c r="K35" s="85"/>
      <c r="L35" s="85"/>
      <c r="M35" s="86">
        <f>SUMIF('Наставни ансамбл'!J14:J220,"Небојша Митровић",'Наставни ансамбл'!G14:G220)</f>
        <v>7</v>
      </c>
      <c r="N35" s="87">
        <f t="shared" si="3"/>
        <v>7</v>
      </c>
      <c r="O35" s="85"/>
      <c r="P35" s="85"/>
      <c r="Q35" s="85"/>
      <c r="R35" s="85"/>
      <c r="S35" s="85"/>
      <c r="T35" s="85"/>
      <c r="U35" s="85"/>
      <c r="V35" s="88">
        <f>SUMIF('Наставни ансамбл'!J14:J220,"Небојша Митровић",'Наставни ансамбл'!H14:H220)</f>
        <v>0</v>
      </c>
      <c r="W35" s="87">
        <f t="shared" si="0"/>
        <v>0</v>
      </c>
      <c r="X35" s="84">
        <f>N35+(W35*0.6)</f>
        <v>7</v>
      </c>
      <c r="Y35" s="89">
        <f t="shared" si="2"/>
        <v>116.66666666666667</v>
      </c>
      <c r="Z35" s="556">
        <f>(X35+X36)/2</f>
        <v>7.5</v>
      </c>
      <c r="AA35" s="558">
        <f>Z35/D35*100</f>
        <v>125</v>
      </c>
      <c r="AB35" s="556">
        <f>IF(Z35&lt;=D35,Z35,D35)</f>
        <v>6</v>
      </c>
      <c r="AC35" s="556">
        <f>IF(Z35&gt;D35,Z35-D35,0)</f>
        <v>1.5</v>
      </c>
      <c r="AD35" s="560">
        <v>8</v>
      </c>
      <c r="AE35" s="560">
        <v>7</v>
      </c>
    </row>
    <row r="36" spans="1:39" s="1" customFormat="1" x14ac:dyDescent="0.25">
      <c r="A36" s="588"/>
      <c r="B36" s="555"/>
      <c r="C36" s="90" t="s">
        <v>238</v>
      </c>
      <c r="D36" s="94">
        <v>6</v>
      </c>
      <c r="E36" s="202"/>
      <c r="F36" s="202"/>
      <c r="G36" s="202"/>
      <c r="H36" s="202"/>
      <c r="I36" s="202"/>
      <c r="J36" s="202"/>
      <c r="K36" s="202"/>
      <c r="L36" s="202"/>
      <c r="M36" s="95">
        <f>SUMIF('Наставни ансамбл'!J378:J585,"Небојша Митровић",'Наставни ансамбл'!G378:G585)</f>
        <v>8</v>
      </c>
      <c r="N36" s="87">
        <f t="shared" si="3"/>
        <v>8</v>
      </c>
      <c r="O36" s="96"/>
      <c r="P36" s="96"/>
      <c r="Q36" s="96"/>
      <c r="R36" s="96"/>
      <c r="S36" s="96"/>
      <c r="T36" s="96"/>
      <c r="U36" s="96"/>
      <c r="V36" s="97">
        <f>SUMIF('Наставни ансамбл'!J378:J585,"Небојша Митровић",'Наставни ансамбл'!H378:H585)</f>
        <v>0</v>
      </c>
      <c r="W36" s="87">
        <f t="shared" si="0"/>
        <v>0</v>
      </c>
      <c r="X36" s="91">
        <f>N36+(W36*0.6)</f>
        <v>8</v>
      </c>
      <c r="Y36" s="93">
        <f t="shared" si="2"/>
        <v>133.33333333333331</v>
      </c>
      <c r="Z36" s="557"/>
      <c r="AA36" s="559"/>
      <c r="AB36" s="557"/>
      <c r="AC36" s="557"/>
      <c r="AD36" s="553"/>
      <c r="AE36" s="553"/>
    </row>
    <row r="37" spans="1:39" s="1" customFormat="1" x14ac:dyDescent="0.25">
      <c r="A37" s="588">
        <v>16</v>
      </c>
      <c r="B37" s="554" t="s">
        <v>281</v>
      </c>
      <c r="C37" s="83" t="s">
        <v>237</v>
      </c>
      <c r="D37" s="84">
        <v>6</v>
      </c>
      <c r="E37" s="85"/>
      <c r="F37" s="85"/>
      <c r="G37" s="85"/>
      <c r="H37" s="85"/>
      <c r="I37" s="85"/>
      <c r="J37" s="85"/>
      <c r="K37" s="85"/>
      <c r="L37" s="85"/>
      <c r="M37" s="86">
        <f>SUMIF('Наставни ансамбл'!J14:J220,"Лидија Јовичић",'Наставни ансамбл'!G14:G220)</f>
        <v>6</v>
      </c>
      <c r="N37" s="87">
        <f t="shared" si="3"/>
        <v>6</v>
      </c>
      <c r="O37" s="85"/>
      <c r="P37" s="85"/>
      <c r="Q37" s="85"/>
      <c r="R37" s="85"/>
      <c r="S37" s="85"/>
      <c r="T37" s="85"/>
      <c r="U37" s="85"/>
      <c r="V37" s="88">
        <f>SUMIF('Наставни ансамбл'!J14:J220,"Лидија Јовичић",'Наставни ансамбл'!H14:H220)</f>
        <v>5</v>
      </c>
      <c r="W37" s="87">
        <f>SUM(O37,P37,Q37,R37,V37,U37)</f>
        <v>5</v>
      </c>
      <c r="X37" s="84">
        <f t="shared" si="4"/>
        <v>9</v>
      </c>
      <c r="Y37" s="89">
        <f t="shared" si="2"/>
        <v>150</v>
      </c>
      <c r="Z37" s="556">
        <f>(X37+X38)/2</f>
        <v>7.3</v>
      </c>
      <c r="AA37" s="558">
        <f>Z37/D37*100</f>
        <v>121.66666666666666</v>
      </c>
      <c r="AB37" s="556">
        <f>IF(Z37&lt;=D37,Z37,D37)</f>
        <v>6</v>
      </c>
      <c r="AC37" s="556">
        <f>IF(Z37&gt;D37,Z37-D37,0)</f>
        <v>1.2999999999999998</v>
      </c>
      <c r="AD37" s="560">
        <v>3</v>
      </c>
      <c r="AE37" s="560">
        <v>5</v>
      </c>
    </row>
    <row r="38" spans="1:39" s="1" customFormat="1" x14ac:dyDescent="0.25">
      <c r="A38" s="588"/>
      <c r="B38" s="555"/>
      <c r="C38" s="90" t="s">
        <v>238</v>
      </c>
      <c r="D38" s="94">
        <v>6</v>
      </c>
      <c r="E38" s="202"/>
      <c r="F38" s="202"/>
      <c r="G38" s="202"/>
      <c r="H38" s="202"/>
      <c r="I38" s="202"/>
      <c r="J38" s="202"/>
      <c r="K38" s="202"/>
      <c r="L38" s="202"/>
      <c r="M38" s="95">
        <f>SUMIF('Наставни ансамбл'!J378:J585,"Лидија Јовичић",'Наставни ансамбл'!G378:G585)</f>
        <v>2</v>
      </c>
      <c r="N38" s="87">
        <f t="shared" si="3"/>
        <v>2</v>
      </c>
      <c r="O38" s="96"/>
      <c r="P38" s="96"/>
      <c r="Q38" s="96"/>
      <c r="R38" s="96"/>
      <c r="S38" s="96"/>
      <c r="T38" s="96"/>
      <c r="U38" s="96"/>
      <c r="V38" s="97">
        <f>SUMIF('Наставни ансамбл'!J378:J585,"Лидија Јовичић",'Наставни ансамбл'!H378:H585)</f>
        <v>6</v>
      </c>
      <c r="W38" s="87">
        <f>SUM(O38,P38,Q38,R38,V38,U38)</f>
        <v>6</v>
      </c>
      <c r="X38" s="91">
        <f t="shared" si="4"/>
        <v>5.6</v>
      </c>
      <c r="Y38" s="93">
        <f t="shared" si="2"/>
        <v>93.333333333333329</v>
      </c>
      <c r="Z38" s="557"/>
      <c r="AA38" s="559"/>
      <c r="AB38" s="557"/>
      <c r="AC38" s="557"/>
      <c r="AD38" s="553"/>
      <c r="AE38" s="553"/>
    </row>
    <row r="39" spans="1:39" s="1" customFormat="1" x14ac:dyDescent="0.25">
      <c r="A39" s="588">
        <v>17</v>
      </c>
      <c r="B39" s="554" t="s">
        <v>267</v>
      </c>
      <c r="C39" s="83" t="s">
        <v>237</v>
      </c>
      <c r="D39" s="84">
        <v>6</v>
      </c>
      <c r="E39" s="85"/>
      <c r="F39" s="85"/>
      <c r="G39" s="85"/>
      <c r="H39" s="85"/>
      <c r="I39" s="85"/>
      <c r="J39" s="85"/>
      <c r="K39" s="85"/>
      <c r="L39" s="85"/>
      <c r="M39" s="86">
        <f>SUMIF('Наставни ансамбл'!J14:J220,"Саша Ђукић",'Наставни ансамбл'!G14:G220)</f>
        <v>2</v>
      </c>
      <c r="N39" s="87">
        <f t="shared" si="3"/>
        <v>2</v>
      </c>
      <c r="O39" s="85"/>
      <c r="P39" s="85"/>
      <c r="Q39" s="85"/>
      <c r="R39" s="85"/>
      <c r="S39" s="85"/>
      <c r="T39" s="85"/>
      <c r="U39" s="85"/>
      <c r="V39" s="88">
        <f>SUMIF('Наставни ансамбл'!J14:J220,"Саша Ђукић",'Наставни ансамбл'!H14:H220)</f>
        <v>12</v>
      </c>
      <c r="W39" s="87">
        <f t="shared" ref="W39:W44" si="5">SUM(O39,P39,Q39,R39,V39,U39)</f>
        <v>12</v>
      </c>
      <c r="X39" s="84">
        <f t="shared" si="4"/>
        <v>9.1999999999999993</v>
      </c>
      <c r="Y39" s="89">
        <f t="shared" si="2"/>
        <v>153.33333333333331</v>
      </c>
      <c r="Z39" s="556">
        <f>(X39+X40)/2</f>
        <v>8.6</v>
      </c>
      <c r="AA39" s="558">
        <f>Z39/D39*100</f>
        <v>143.33333333333334</v>
      </c>
      <c r="AB39" s="556">
        <f>IF(Z39&lt;=D39,Z39,D39)</f>
        <v>6</v>
      </c>
      <c r="AC39" s="556">
        <f>IF(Z39&gt;D39,Z39-D39,0)</f>
        <v>2.5999999999999996</v>
      </c>
      <c r="AD39" s="560">
        <v>6</v>
      </c>
      <c r="AE39" s="560">
        <v>6</v>
      </c>
    </row>
    <row r="40" spans="1:39" s="1" customFormat="1" x14ac:dyDescent="0.25">
      <c r="A40" s="588"/>
      <c r="B40" s="555"/>
      <c r="C40" s="90" t="s">
        <v>238</v>
      </c>
      <c r="D40" s="94">
        <v>6</v>
      </c>
      <c r="E40" s="202"/>
      <c r="F40" s="202"/>
      <c r="G40" s="202"/>
      <c r="H40" s="202"/>
      <c r="I40" s="202"/>
      <c r="J40" s="202"/>
      <c r="K40" s="202"/>
      <c r="L40" s="202"/>
      <c r="M40" s="95">
        <f>SUMIF('Наставни ансамбл'!J378:J585,"Саша Ђукић",'Наставни ансамбл'!G378:G585)</f>
        <v>2</v>
      </c>
      <c r="N40" s="87">
        <f t="shared" si="3"/>
        <v>2</v>
      </c>
      <c r="O40" s="96"/>
      <c r="P40" s="96"/>
      <c r="Q40" s="96"/>
      <c r="R40" s="96"/>
      <c r="S40" s="96"/>
      <c r="T40" s="96"/>
      <c r="U40" s="96"/>
      <c r="V40" s="97">
        <f>SUMIF('Наставни ансамбл'!J378:J585,"Саша Ђукић",'Наставни ансамбл'!H378:H585)</f>
        <v>10</v>
      </c>
      <c r="W40" s="87">
        <f t="shared" si="5"/>
        <v>10</v>
      </c>
      <c r="X40" s="91">
        <f t="shared" si="4"/>
        <v>8</v>
      </c>
      <c r="Y40" s="93">
        <f t="shared" si="2"/>
        <v>133.33333333333331</v>
      </c>
      <c r="Z40" s="557"/>
      <c r="AA40" s="559"/>
      <c r="AB40" s="557"/>
      <c r="AC40" s="557"/>
      <c r="AD40" s="553"/>
      <c r="AE40" s="553"/>
    </row>
    <row r="41" spans="1:39" s="1" customFormat="1" x14ac:dyDescent="0.25">
      <c r="A41" s="552">
        <v>18</v>
      </c>
      <c r="B41" s="589" t="s">
        <v>395</v>
      </c>
      <c r="C41" s="83" t="s">
        <v>237</v>
      </c>
      <c r="D41" s="84">
        <v>6</v>
      </c>
      <c r="E41" s="85"/>
      <c r="F41" s="85"/>
      <c r="G41" s="85"/>
      <c r="H41" s="85"/>
      <c r="I41" s="85"/>
      <c r="J41" s="85"/>
      <c r="K41" s="85"/>
      <c r="L41" s="85"/>
      <c r="M41" s="86">
        <f>SUMIF('Наставни ансамбл'!J14:J220,"Весна Вујичић",'Наставни ансамбл'!G14:G220)</f>
        <v>0</v>
      </c>
      <c r="N41" s="87">
        <f t="shared" si="3"/>
        <v>0</v>
      </c>
      <c r="O41" s="85"/>
      <c r="P41" s="85"/>
      <c r="Q41" s="85"/>
      <c r="R41" s="85"/>
      <c r="S41" s="85"/>
      <c r="T41" s="85"/>
      <c r="U41" s="85"/>
      <c r="V41" s="88">
        <f>SUMIF('Наставни ансамбл'!J14:J220,"Весна Вујичић",'Наставни ансамбл'!H14:H220)</f>
        <v>0</v>
      </c>
      <c r="W41" s="87">
        <f t="shared" si="5"/>
        <v>0</v>
      </c>
      <c r="X41" s="105">
        <f t="shared" si="4"/>
        <v>0</v>
      </c>
      <c r="Y41" s="108">
        <f t="shared" si="2"/>
        <v>0</v>
      </c>
      <c r="Z41" s="591">
        <f>(X41+X42)/2</f>
        <v>0</v>
      </c>
      <c r="AA41" s="592">
        <f>Z41/10*100</f>
        <v>0</v>
      </c>
      <c r="AB41" s="556">
        <f>IF(Z41&lt;=D41,Z41,D41)</f>
        <v>0</v>
      </c>
      <c r="AC41" s="556">
        <f>IF(Z41&gt;D41,Z41-D41,0)</f>
        <v>0</v>
      </c>
      <c r="AD41" s="552">
        <v>7</v>
      </c>
      <c r="AE41" s="560">
        <v>6</v>
      </c>
    </row>
    <row r="42" spans="1:39" s="1" customFormat="1" x14ac:dyDescent="0.25">
      <c r="A42" s="553"/>
      <c r="B42" s="590"/>
      <c r="C42" s="90" t="s">
        <v>238</v>
      </c>
      <c r="D42" s="94">
        <v>6</v>
      </c>
      <c r="E42" s="91"/>
      <c r="F42" s="91"/>
      <c r="G42" s="91"/>
      <c r="H42" s="91"/>
      <c r="I42" s="91"/>
      <c r="J42" s="91"/>
      <c r="K42" s="91"/>
      <c r="L42" s="91"/>
      <c r="M42" s="208">
        <f>SUMIF('Наставни ансамбл'!J378:J585,"Весна Вујичић",'Наставни ансамбл'!G378:G585)</f>
        <v>0</v>
      </c>
      <c r="N42" s="87">
        <f t="shared" si="3"/>
        <v>0</v>
      </c>
      <c r="O42" s="85"/>
      <c r="P42" s="85"/>
      <c r="Q42" s="85"/>
      <c r="R42" s="85"/>
      <c r="S42" s="85"/>
      <c r="T42" s="85"/>
      <c r="U42" s="85"/>
      <c r="V42" s="88">
        <f>SUMIF('Наставни ансамбл'!J378:J585,"Весна Вујичић",'Наставни ансамбл'!H378:H585)</f>
        <v>0</v>
      </c>
      <c r="W42" s="87">
        <f t="shared" si="5"/>
        <v>0</v>
      </c>
      <c r="X42" s="109">
        <f t="shared" si="4"/>
        <v>0</v>
      </c>
      <c r="Y42" s="93">
        <f t="shared" si="2"/>
        <v>0</v>
      </c>
      <c r="Z42" s="557"/>
      <c r="AA42" s="559"/>
      <c r="AB42" s="557"/>
      <c r="AC42" s="557"/>
      <c r="AD42" s="553"/>
      <c r="AE42" s="553"/>
    </row>
    <row r="43" spans="1:39" s="1" customFormat="1" x14ac:dyDescent="0.25">
      <c r="A43" s="585">
        <v>19</v>
      </c>
      <c r="B43" s="589" t="s">
        <v>528</v>
      </c>
      <c r="C43" s="83" t="s">
        <v>237</v>
      </c>
      <c r="D43" s="84">
        <v>6</v>
      </c>
      <c r="E43" s="85"/>
      <c r="F43" s="85"/>
      <c r="G43" s="85"/>
      <c r="H43" s="85"/>
      <c r="I43" s="85"/>
      <c r="J43" s="85"/>
      <c r="K43" s="85"/>
      <c r="L43" s="85"/>
      <c r="M43" s="86">
        <f>SUMIF('Наставни ансамбл'!J14:J220,"Слађана Миљеновић",'Наставни ансамбл'!G14:G220)</f>
        <v>6</v>
      </c>
      <c r="N43" s="87">
        <f t="shared" si="3"/>
        <v>6</v>
      </c>
      <c r="O43" s="85"/>
      <c r="P43" s="85"/>
      <c r="Q43" s="85"/>
      <c r="R43" s="85"/>
      <c r="S43" s="85"/>
      <c r="T43" s="85"/>
      <c r="U43" s="85"/>
      <c r="V43" s="88">
        <f>SUMIF('Наставни ансамбл'!J14:J220,"Слађана Миљеновић",'Наставни ансамбл'!H14:H220)</f>
        <v>5</v>
      </c>
      <c r="W43" s="87">
        <f t="shared" si="5"/>
        <v>5</v>
      </c>
      <c r="X43" s="105">
        <f t="shared" si="4"/>
        <v>9</v>
      </c>
      <c r="Y43" s="108">
        <f t="shared" si="2"/>
        <v>150</v>
      </c>
      <c r="Z43" s="591">
        <f>(X43+X44)/2</f>
        <v>8.1999999999999993</v>
      </c>
      <c r="AA43" s="592">
        <f>Z43/10*100</f>
        <v>82</v>
      </c>
      <c r="AB43" s="556">
        <f>IF(Z43&lt;=D43,Z43,D43)</f>
        <v>6</v>
      </c>
      <c r="AC43" s="556">
        <f>IF(Z43&gt;D43,Z43-D43,0)</f>
        <v>2.1999999999999993</v>
      </c>
      <c r="AD43" s="552">
        <v>1</v>
      </c>
      <c r="AE43" s="552">
        <v>5</v>
      </c>
    </row>
    <row r="44" spans="1:39" s="1" customFormat="1" x14ac:dyDescent="0.25">
      <c r="A44" s="553"/>
      <c r="B44" s="590"/>
      <c r="C44" s="90" t="s">
        <v>238</v>
      </c>
      <c r="D44" s="94">
        <v>6</v>
      </c>
      <c r="E44" s="91"/>
      <c r="F44" s="91"/>
      <c r="G44" s="91"/>
      <c r="H44" s="91"/>
      <c r="I44" s="91"/>
      <c r="J44" s="91"/>
      <c r="K44" s="91"/>
      <c r="L44" s="91"/>
      <c r="M44" s="208">
        <f>SUMIF('Наставни ансамбл'!J378:J585,"Слађана Миљеновић",'Наставни ансамбл'!G378:G585)</f>
        <v>5</v>
      </c>
      <c r="N44" s="87">
        <f t="shared" si="3"/>
        <v>5</v>
      </c>
      <c r="O44" s="85"/>
      <c r="P44" s="85"/>
      <c r="Q44" s="85"/>
      <c r="R44" s="85"/>
      <c r="S44" s="85"/>
      <c r="T44" s="85"/>
      <c r="U44" s="85"/>
      <c r="V44" s="88">
        <f>SUMIF('Наставни ансамбл'!J378:J585,"Слађана Миљеновић",'Наставни ансамбл'!H378:H585)</f>
        <v>4</v>
      </c>
      <c r="W44" s="87">
        <f t="shared" si="5"/>
        <v>4</v>
      </c>
      <c r="X44" s="109">
        <f t="shared" si="4"/>
        <v>7.4</v>
      </c>
      <c r="Y44" s="93">
        <f t="shared" si="2"/>
        <v>123.33333333333334</v>
      </c>
      <c r="Z44" s="557"/>
      <c r="AA44" s="559"/>
      <c r="AB44" s="557"/>
      <c r="AC44" s="557"/>
      <c r="AD44" s="553"/>
      <c r="AE44" s="553"/>
    </row>
    <row r="45" spans="1:39" s="1" customFormat="1" x14ac:dyDescent="0.25">
      <c r="A45" s="593">
        <v>20</v>
      </c>
      <c r="B45" s="554" t="s">
        <v>529</v>
      </c>
      <c r="C45" s="83" t="s">
        <v>237</v>
      </c>
      <c r="D45" s="84">
        <v>6</v>
      </c>
      <c r="E45" s="85"/>
      <c r="F45" s="85"/>
      <c r="G45" s="85"/>
      <c r="H45" s="85"/>
      <c r="I45" s="85"/>
      <c r="J45" s="85"/>
      <c r="K45" s="85"/>
      <c r="L45" s="85"/>
      <c r="M45" s="86">
        <f>SUMIF('Наставни ансамбл'!J14:J220,"Сузана Бунчић",'Наставни ансамбл'!G14:G220)</f>
        <v>8</v>
      </c>
      <c r="N45" s="87">
        <f t="shared" si="3"/>
        <v>8</v>
      </c>
      <c r="O45" s="85"/>
      <c r="P45" s="85"/>
      <c r="Q45" s="85"/>
      <c r="R45" s="85"/>
      <c r="S45" s="85"/>
      <c r="T45" s="85"/>
      <c r="U45" s="85"/>
      <c r="V45" s="88">
        <f>SUMIF('Наставни ансамбл'!J14:J220,"Сузана Бунчић",'Наставни ансамбл'!H14:H220)</f>
        <v>11</v>
      </c>
      <c r="W45" s="106">
        <f>SUM(F45,L45,O45,P45,Q45,R45,S45,V45,U45)</f>
        <v>11</v>
      </c>
      <c r="X45" s="157">
        <f t="shared" si="4"/>
        <v>14.6</v>
      </c>
      <c r="Y45" s="108">
        <f>X45/D45*100</f>
        <v>243.33333333333331</v>
      </c>
      <c r="Z45" s="591">
        <f>(X45+X46)/2</f>
        <v>12.399999999999999</v>
      </c>
      <c r="AA45" s="592">
        <f>Z45/10*100</f>
        <v>123.99999999999997</v>
      </c>
      <c r="AB45" s="556">
        <f>IF(Z45&lt;=D45,Z45,D45)</f>
        <v>6</v>
      </c>
      <c r="AC45" s="556">
        <f>IF(Z45&gt;D45,Z45-D45,0)</f>
        <v>6.3999999999999986</v>
      </c>
      <c r="AD45" s="552">
        <v>6</v>
      </c>
      <c r="AE45" s="552">
        <v>5</v>
      </c>
    </row>
    <row r="46" spans="1:39" s="1" customFormat="1" x14ac:dyDescent="0.25">
      <c r="A46" s="594"/>
      <c r="B46" s="555"/>
      <c r="C46" s="90" t="s">
        <v>238</v>
      </c>
      <c r="D46" s="94">
        <v>6</v>
      </c>
      <c r="E46" s="91"/>
      <c r="F46" s="91"/>
      <c r="G46" s="91"/>
      <c r="H46" s="91"/>
      <c r="I46" s="91"/>
      <c r="J46" s="91"/>
      <c r="K46" s="91"/>
      <c r="L46" s="91"/>
      <c r="M46" s="208">
        <f>SUMIF('Наставни ансамбл'!J378:J585,"Сузана Бунчић",'Наставни ансамбл'!G378:G585)</f>
        <v>6</v>
      </c>
      <c r="N46" s="87">
        <f t="shared" si="3"/>
        <v>6</v>
      </c>
      <c r="O46" s="85"/>
      <c r="P46" s="85"/>
      <c r="Q46" s="85"/>
      <c r="R46" s="85"/>
      <c r="S46" s="85"/>
      <c r="T46" s="85"/>
      <c r="U46" s="85"/>
      <c r="V46" s="88">
        <f>SUMIF('Наставни ансамбл'!J378:J585,"Сузана Бунчић",'Наставни ансамбл'!H378:H585)</f>
        <v>7</v>
      </c>
      <c r="W46" s="106">
        <f>SUM(F46,O46,P46,Q46,R46,S46,V46,U46)</f>
        <v>7</v>
      </c>
      <c r="X46" s="111">
        <f t="shared" si="4"/>
        <v>10.199999999999999</v>
      </c>
      <c r="Y46" s="93">
        <f>X46/D46*100</f>
        <v>170</v>
      </c>
      <c r="Z46" s="557"/>
      <c r="AA46" s="559"/>
      <c r="AB46" s="557"/>
      <c r="AC46" s="557"/>
      <c r="AD46" s="553"/>
      <c r="AE46" s="553"/>
    </row>
    <row r="47" spans="1:39" s="1" customFormat="1" x14ac:dyDescent="0.25">
      <c r="A47" s="261"/>
      <c r="B47" s="595" t="s">
        <v>251</v>
      </c>
      <c r="C47" s="597" t="s">
        <v>237</v>
      </c>
      <c r="D47" s="598"/>
      <c r="E47" s="262"/>
      <c r="F47" s="262"/>
      <c r="G47" s="262"/>
      <c r="H47" s="262"/>
      <c r="I47" s="262"/>
      <c r="J47" s="262"/>
      <c r="K47" s="262"/>
      <c r="L47" s="262"/>
      <c r="M47" s="257">
        <f>M7+M9+M11+M13+M15+M17+M19+M21+M23+M25+M27+M29+M31+M33+M35+M37+M39+M41+M43+M45</f>
        <v>85</v>
      </c>
      <c r="N47" s="209">
        <f>N7+N9+N11+N13+N15+N17+N19+N21+N23+N25+N27+N29+N31+N33+N35+N37+N39</f>
        <v>75</v>
      </c>
      <c r="O47" s="257"/>
      <c r="P47" s="257"/>
      <c r="Q47" s="257"/>
      <c r="R47" s="257"/>
      <c r="S47" s="257"/>
      <c r="T47" s="257"/>
      <c r="U47" s="257"/>
      <c r="V47" s="257">
        <f t="shared" ref="V47:X48" si="6">V7+V9+V11+V13+V15+V17+V19+V21+V23+V25+V27+V29+V31+V33+V35+V37+V39</f>
        <v>68</v>
      </c>
      <c r="W47" s="257">
        <f t="shared" si="6"/>
        <v>68</v>
      </c>
      <c r="X47" s="257">
        <f t="shared" si="6"/>
        <v>115.8</v>
      </c>
      <c r="Y47" s="93"/>
      <c r="Z47" s="599">
        <f>SUM(Z7:Z40)</f>
        <v>129.9</v>
      </c>
      <c r="AA47" s="101"/>
      <c r="AB47" s="599">
        <f>SUM(AB7:AB40)</f>
        <v>93.600000000000009</v>
      </c>
      <c r="AC47" s="599">
        <f>SUM(AC7:AC40)</f>
        <v>36.299999999999997</v>
      </c>
      <c r="AD47" s="552"/>
      <c r="AE47" s="552"/>
      <c r="AH47" s="98"/>
      <c r="AI47" s="99"/>
      <c r="AJ47" s="99"/>
      <c r="AK47" s="99"/>
      <c r="AL47" s="99"/>
      <c r="AM47" s="99"/>
    </row>
    <row r="48" spans="1:39" s="1" customFormat="1" x14ac:dyDescent="0.25">
      <c r="A48" s="261"/>
      <c r="B48" s="596"/>
      <c r="C48" s="601" t="s">
        <v>238</v>
      </c>
      <c r="D48" s="602"/>
      <c r="E48" s="263"/>
      <c r="F48" s="263"/>
      <c r="G48" s="263"/>
      <c r="H48" s="263"/>
      <c r="I48" s="263"/>
      <c r="J48" s="263"/>
      <c r="K48" s="263"/>
      <c r="L48" s="263"/>
      <c r="M48" s="257">
        <f>M8+M10+M12+M14+M16+M18+M20+M22+M24+M26+M28+M30+M32+M34+M36+M38+M40+M42+M44+M46</f>
        <v>97</v>
      </c>
      <c r="N48" s="257">
        <f>N8+N10+N12+N14+N16+N18+N20+N22+N24+N26+N28+N30+N32+N34+N36+N38+N40</f>
        <v>96</v>
      </c>
      <c r="O48" s="257"/>
      <c r="P48" s="257"/>
      <c r="Q48" s="257"/>
      <c r="R48" s="257"/>
      <c r="S48" s="257"/>
      <c r="T48" s="257"/>
      <c r="U48" s="257"/>
      <c r="V48" s="257">
        <f t="shared" si="6"/>
        <v>80</v>
      </c>
      <c r="W48" s="257">
        <f t="shared" si="6"/>
        <v>80</v>
      </c>
      <c r="X48" s="257">
        <f t="shared" si="6"/>
        <v>143.99999999999997</v>
      </c>
      <c r="Y48" s="93"/>
      <c r="Z48" s="600"/>
      <c r="AA48" s="101"/>
      <c r="AB48" s="600"/>
      <c r="AC48" s="600"/>
      <c r="AD48" s="583"/>
      <c r="AE48" s="583"/>
      <c r="AH48" s="98"/>
      <c r="AI48" s="99"/>
      <c r="AJ48" s="99"/>
      <c r="AK48" s="99"/>
      <c r="AL48" s="99"/>
      <c r="AM48" s="99"/>
    </row>
    <row r="49" spans="1:31" s="1" customFormat="1" x14ac:dyDescent="0.25">
      <c r="A49" s="100"/>
      <c r="B49" s="102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103"/>
      <c r="Z49" s="100"/>
      <c r="AA49" s="104"/>
      <c r="AB49" s="104"/>
      <c r="AC49" s="104"/>
      <c r="AD49" s="100"/>
      <c r="AE49" s="100"/>
    </row>
    <row r="50" spans="1:31" s="193" customFormat="1" ht="18.75" x14ac:dyDescent="0.3">
      <c r="A50" s="603" t="s">
        <v>252</v>
      </c>
      <c r="B50" s="603"/>
      <c r="C50" s="195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7"/>
      <c r="Z50" s="198"/>
      <c r="AA50" s="199"/>
      <c r="AB50" s="199"/>
      <c r="AC50" s="199"/>
      <c r="AD50" s="198"/>
      <c r="AE50" s="198"/>
    </row>
    <row r="51" spans="1:31" s="1" customFormat="1" x14ac:dyDescent="0.25">
      <c r="A51" s="552">
        <v>21</v>
      </c>
      <c r="B51" s="554" t="s">
        <v>394</v>
      </c>
      <c r="C51" s="83" t="s">
        <v>237</v>
      </c>
      <c r="D51" s="84">
        <v>10</v>
      </c>
      <c r="E51" s="85"/>
      <c r="F51" s="118">
        <v>4</v>
      </c>
      <c r="G51" s="85"/>
      <c r="H51" s="85"/>
      <c r="I51" s="85"/>
      <c r="J51" s="85"/>
      <c r="K51" s="85"/>
      <c r="L51" s="118">
        <v>2</v>
      </c>
      <c r="M51" s="84"/>
      <c r="N51" s="84"/>
      <c r="O51" s="85"/>
      <c r="P51" s="85"/>
      <c r="Q51" s="85"/>
      <c r="R51" s="85"/>
      <c r="S51" s="85"/>
      <c r="T51" s="85"/>
      <c r="U51" s="85"/>
      <c r="V51" s="88">
        <f>SUMIF('Наставни ансамбл'!J14:J220,"Владан Тодић",'Наставни ансамбл'!H14:H220)</f>
        <v>0</v>
      </c>
      <c r="W51" s="106">
        <f>SUM(E51:V51)</f>
        <v>6</v>
      </c>
      <c r="X51" s="109">
        <f t="shared" ref="X51:X62" si="7">W51</f>
        <v>6</v>
      </c>
      <c r="Y51" s="108">
        <f t="shared" ref="Y51:Y62" si="8">X51/D51*100</f>
        <v>60</v>
      </c>
      <c r="Z51" s="591">
        <f>(X51+X52)/2</f>
        <v>5.5</v>
      </c>
      <c r="AA51" s="592">
        <f>Z51/10*100</f>
        <v>55.000000000000007</v>
      </c>
      <c r="AB51" s="556">
        <f>IF(Z51&lt;=D51,Z51,D51)</f>
        <v>5.5</v>
      </c>
      <c r="AC51" s="556">
        <f>IF(Z51&gt;D51,Z51-D51,0)</f>
        <v>0</v>
      </c>
      <c r="AD51" s="560">
        <v>5</v>
      </c>
      <c r="AE51" s="560">
        <v>4</v>
      </c>
    </row>
    <row r="52" spans="1:31" s="1" customFormat="1" x14ac:dyDescent="0.25">
      <c r="A52" s="553"/>
      <c r="B52" s="555"/>
      <c r="C52" s="90" t="s">
        <v>238</v>
      </c>
      <c r="D52" s="91">
        <v>10</v>
      </c>
      <c r="E52" s="91"/>
      <c r="F52" s="138">
        <v>5</v>
      </c>
      <c r="G52" s="91"/>
      <c r="H52" s="91"/>
      <c r="I52" s="91"/>
      <c r="J52" s="91"/>
      <c r="K52" s="91"/>
      <c r="L52" s="91"/>
      <c r="M52" s="91"/>
      <c r="N52" s="91"/>
      <c r="O52" s="85"/>
      <c r="P52" s="85"/>
      <c r="Q52" s="85"/>
      <c r="R52" s="85"/>
      <c r="S52" s="118"/>
      <c r="T52" s="85"/>
      <c r="U52" s="85"/>
      <c r="V52" s="88">
        <f>SUMIF('Наставни ансамбл'!J378:J585,"Владан Тодић",'Наставни ансамбл'!H378:H585)</f>
        <v>0</v>
      </c>
      <c r="W52" s="106">
        <f>SUM(F52,O52,P52,Q52,R52,S52,V52,U52)</f>
        <v>5</v>
      </c>
      <c r="X52" s="109">
        <f t="shared" si="7"/>
        <v>5</v>
      </c>
      <c r="Y52" s="93">
        <f t="shared" si="8"/>
        <v>50</v>
      </c>
      <c r="Z52" s="557"/>
      <c r="AA52" s="559"/>
      <c r="AB52" s="557"/>
      <c r="AC52" s="557"/>
      <c r="AD52" s="553"/>
      <c r="AE52" s="553"/>
    </row>
    <row r="53" spans="1:31" s="1" customFormat="1" ht="13.15" customHeight="1" x14ac:dyDescent="0.25">
      <c r="A53" s="585">
        <v>22</v>
      </c>
      <c r="B53" s="554" t="s">
        <v>396</v>
      </c>
      <c r="C53" s="83" t="s">
        <v>237</v>
      </c>
      <c r="D53" s="84">
        <v>10</v>
      </c>
      <c r="E53" s="85"/>
      <c r="F53" s="85"/>
      <c r="G53" s="85"/>
      <c r="H53" s="85"/>
      <c r="I53" s="85"/>
      <c r="J53" s="85"/>
      <c r="K53" s="85"/>
      <c r="L53" s="85"/>
      <c r="M53" s="84"/>
      <c r="N53" s="84"/>
      <c r="O53" s="85"/>
      <c r="P53" s="85"/>
      <c r="Q53" s="85"/>
      <c r="R53" s="85"/>
      <c r="S53" s="85"/>
      <c r="T53" s="85"/>
      <c r="U53" s="85"/>
      <c r="V53" s="88">
        <f>SUMIF('Наставни ансамбл'!J14:J220,"Рада Голуб",'Наставни ансамбл'!H14:H220)</f>
        <v>0</v>
      </c>
      <c r="W53" s="106">
        <f t="shared" ref="W53:W62" si="9">SUM(O53,P53,Q53,R53,V53,U53)</f>
        <v>0</v>
      </c>
      <c r="X53" s="109">
        <f t="shared" si="7"/>
        <v>0</v>
      </c>
      <c r="Y53" s="108">
        <f t="shared" si="8"/>
        <v>0</v>
      </c>
      <c r="Z53" s="591">
        <f>(X53+X54)/2</f>
        <v>0</v>
      </c>
      <c r="AA53" s="592">
        <f>Z53/10*100</f>
        <v>0</v>
      </c>
      <c r="AB53" s="556">
        <f>IF(Z53&lt;=D53,Z53,D53)</f>
        <v>0</v>
      </c>
      <c r="AC53" s="556">
        <f>IF(Z53&gt;D53,Z53-D53,0)</f>
        <v>0</v>
      </c>
      <c r="AD53" s="552">
        <v>0</v>
      </c>
      <c r="AE53" s="560">
        <v>0</v>
      </c>
    </row>
    <row r="54" spans="1:31" s="1" customFormat="1" x14ac:dyDescent="0.25">
      <c r="A54" s="553"/>
      <c r="B54" s="555"/>
      <c r="C54" s="90" t="s">
        <v>238</v>
      </c>
      <c r="D54" s="91">
        <v>10</v>
      </c>
      <c r="E54" s="138"/>
      <c r="F54" s="91"/>
      <c r="G54" s="91"/>
      <c r="H54" s="91"/>
      <c r="I54" s="91"/>
      <c r="J54" s="91"/>
      <c r="K54" s="91"/>
      <c r="L54" s="91"/>
      <c r="M54" s="91"/>
      <c r="N54" s="91"/>
      <c r="O54" s="85"/>
      <c r="P54" s="85"/>
      <c r="Q54" s="85"/>
      <c r="R54" s="85"/>
      <c r="S54" s="85"/>
      <c r="T54" s="85"/>
      <c r="U54" s="85"/>
      <c r="V54" s="88">
        <f>SUMIF('Наставни ансамбл'!J378:J585,"Рада Голуб",'Наставни ансамбл'!H378:H585)</f>
        <v>0</v>
      </c>
      <c r="W54" s="106">
        <f t="shared" si="9"/>
        <v>0</v>
      </c>
      <c r="X54" s="109">
        <f t="shared" si="7"/>
        <v>0</v>
      </c>
      <c r="Y54" s="93">
        <f t="shared" si="8"/>
        <v>0</v>
      </c>
      <c r="Z54" s="557"/>
      <c r="AA54" s="559"/>
      <c r="AB54" s="557"/>
      <c r="AC54" s="557"/>
      <c r="AD54" s="553"/>
      <c r="AE54" s="553"/>
    </row>
    <row r="55" spans="1:31" s="1" customFormat="1" x14ac:dyDescent="0.25">
      <c r="A55" s="552">
        <v>23</v>
      </c>
      <c r="B55" s="554" t="s">
        <v>325</v>
      </c>
      <c r="C55" s="83" t="s">
        <v>237</v>
      </c>
      <c r="D55" s="84">
        <v>10</v>
      </c>
      <c r="E55" s="85"/>
      <c r="F55" s="85"/>
      <c r="G55" s="85"/>
      <c r="H55" s="85"/>
      <c r="I55" s="85"/>
      <c r="J55" s="85"/>
      <c r="K55" s="85"/>
      <c r="L55" s="85"/>
      <c r="M55" s="84"/>
      <c r="N55" s="84"/>
      <c r="O55" s="85"/>
      <c r="P55" s="85"/>
      <c r="Q55" s="85"/>
      <c r="R55" s="85"/>
      <c r="S55" s="85"/>
      <c r="T55" s="85"/>
      <c r="U55" s="85"/>
      <c r="V55" s="88">
        <f>SUMIF('Наставни ансамбл'!J14:J220,"Слађана Митровић",'Наставни ансамбл'!H14:H220)</f>
        <v>0</v>
      </c>
      <c r="W55" s="87">
        <f t="shared" si="9"/>
        <v>0</v>
      </c>
      <c r="X55" s="109">
        <f t="shared" si="7"/>
        <v>0</v>
      </c>
      <c r="Y55" s="89">
        <f t="shared" si="8"/>
        <v>0</v>
      </c>
      <c r="Z55" s="556">
        <f>(X55+X56)/2</f>
        <v>0</v>
      </c>
      <c r="AA55" s="558">
        <f>Z55/10*100</f>
        <v>0</v>
      </c>
      <c r="AB55" s="556">
        <f>IF(Z55&lt;=D55,Z55,D55)</f>
        <v>0</v>
      </c>
      <c r="AC55" s="556">
        <f>IF(Z55&gt;D55,Z55-D55,0)</f>
        <v>0</v>
      </c>
      <c r="AD55" s="552">
        <v>2</v>
      </c>
      <c r="AE55" s="560">
        <v>3</v>
      </c>
    </row>
    <row r="56" spans="1:31" s="1" customFormat="1" x14ac:dyDescent="0.25">
      <c r="A56" s="553"/>
      <c r="B56" s="555"/>
      <c r="C56" s="90" t="s">
        <v>238</v>
      </c>
      <c r="D56" s="91">
        <v>10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85"/>
      <c r="P56" s="85"/>
      <c r="Q56" s="85"/>
      <c r="R56" s="85"/>
      <c r="S56" s="85"/>
      <c r="T56" s="85"/>
      <c r="U56" s="85"/>
      <c r="V56" s="88">
        <f>SUMIF('Наставни ансамбл'!J378:J585,"Слађана Митровић",'Наставни ансамбл'!H378:H585)</f>
        <v>0</v>
      </c>
      <c r="W56" s="106">
        <f t="shared" si="9"/>
        <v>0</v>
      </c>
      <c r="X56" s="109">
        <f t="shared" si="7"/>
        <v>0</v>
      </c>
      <c r="Y56" s="93">
        <f t="shared" si="8"/>
        <v>0</v>
      </c>
      <c r="Z56" s="557"/>
      <c r="AA56" s="559"/>
      <c r="AB56" s="557"/>
      <c r="AC56" s="557"/>
      <c r="AD56" s="553"/>
      <c r="AE56" s="604"/>
    </row>
    <row r="57" spans="1:31" s="1" customFormat="1" x14ac:dyDescent="0.25">
      <c r="A57" s="552">
        <v>24</v>
      </c>
      <c r="B57" s="554" t="s">
        <v>323</v>
      </c>
      <c r="C57" s="83" t="s">
        <v>237</v>
      </c>
      <c r="D57" s="84">
        <v>10</v>
      </c>
      <c r="E57" s="85"/>
      <c r="F57" s="85"/>
      <c r="G57" s="85"/>
      <c r="H57" s="85"/>
      <c r="I57" s="85"/>
      <c r="J57" s="85"/>
      <c r="K57" s="85"/>
      <c r="L57" s="85"/>
      <c r="M57" s="84"/>
      <c r="N57" s="84"/>
      <c r="O57" s="85"/>
      <c r="P57" s="85"/>
      <c r="Q57" s="85"/>
      <c r="R57" s="85"/>
      <c r="S57" s="85"/>
      <c r="T57" s="85"/>
      <c r="U57" s="85"/>
      <c r="V57" s="88">
        <f>SUMIF('Наставни ансамбл'!J14:J220,"Дејан Стевић",'Наставни ансамбл'!H14:H220)</f>
        <v>14</v>
      </c>
      <c r="W57" s="106">
        <f>SUM(E57,O57,P57,Q57,R57,V57,U57)</f>
        <v>14</v>
      </c>
      <c r="X57" s="109">
        <f t="shared" si="7"/>
        <v>14</v>
      </c>
      <c r="Y57" s="113">
        <f t="shared" si="8"/>
        <v>140</v>
      </c>
      <c r="Z57" s="556">
        <f>(X57+X58)/2</f>
        <v>10.5</v>
      </c>
      <c r="AA57" s="558">
        <f>Z57/10*100</f>
        <v>105</v>
      </c>
      <c r="AB57" s="556">
        <f>IF(Z57&lt;=D57,Z57,D57)</f>
        <v>10</v>
      </c>
      <c r="AC57" s="556">
        <f>IF(Z57&gt;D57,Z57-D57,0)</f>
        <v>0.5</v>
      </c>
      <c r="AD57" s="552">
        <v>7</v>
      </c>
      <c r="AE57" s="552">
        <v>3</v>
      </c>
    </row>
    <row r="58" spans="1:31" s="1" customFormat="1" x14ac:dyDescent="0.25">
      <c r="A58" s="583"/>
      <c r="B58" s="584"/>
      <c r="C58" s="90" t="s">
        <v>238</v>
      </c>
      <c r="D58" s="91">
        <v>10</v>
      </c>
      <c r="E58" s="138"/>
      <c r="F58" s="91"/>
      <c r="G58" s="91"/>
      <c r="H58" s="91"/>
      <c r="I58" s="91"/>
      <c r="J58" s="91"/>
      <c r="K58" s="91"/>
      <c r="L58" s="91"/>
      <c r="M58" s="91"/>
      <c r="N58" s="91"/>
      <c r="O58" s="85"/>
      <c r="P58" s="85"/>
      <c r="Q58" s="85"/>
      <c r="R58" s="85"/>
      <c r="S58" s="85"/>
      <c r="T58" s="85"/>
      <c r="U58" s="85"/>
      <c r="V58" s="88">
        <f>SUMIF('Наставни ансамбл'!J378:J585,"Дејан Стевић",'Наставни ансамбл'!H378:H585)</f>
        <v>7</v>
      </c>
      <c r="W58" s="106">
        <f>SUM(E58,O58,P58,Q58,R58,V58,U58)</f>
        <v>7</v>
      </c>
      <c r="X58" s="109">
        <f t="shared" si="7"/>
        <v>7</v>
      </c>
      <c r="Y58" s="93">
        <f t="shared" si="8"/>
        <v>70</v>
      </c>
      <c r="Z58" s="583"/>
      <c r="AA58" s="583"/>
      <c r="AB58" s="583"/>
      <c r="AC58" s="583"/>
      <c r="AD58" s="583"/>
      <c r="AE58" s="583"/>
    </row>
    <row r="59" spans="1:31" s="1" customFormat="1" x14ac:dyDescent="0.25">
      <c r="A59" s="552">
        <v>25</v>
      </c>
      <c r="B59" s="554" t="s">
        <v>384</v>
      </c>
      <c r="C59" s="83" t="s">
        <v>237</v>
      </c>
      <c r="D59" s="84">
        <v>10</v>
      </c>
      <c r="E59" s="85"/>
      <c r="F59" s="85"/>
      <c r="G59" s="85"/>
      <c r="H59" s="85"/>
      <c r="I59" s="85"/>
      <c r="J59" s="85"/>
      <c r="K59" s="85"/>
      <c r="L59" s="85"/>
      <c r="M59" s="84"/>
      <c r="N59" s="84"/>
      <c r="O59" s="85"/>
      <c r="P59" s="85"/>
      <c r="Q59" s="85"/>
      <c r="R59" s="85"/>
      <c r="S59" s="85"/>
      <c r="T59" s="85"/>
      <c r="U59" s="85"/>
      <c r="V59" s="88">
        <f>SUMIF('Наставни ансамбл'!J14:J220,"Добринко Дринић",'Наставни ансамбл'!H14:H220)</f>
        <v>15</v>
      </c>
      <c r="W59" s="87">
        <f t="shared" si="9"/>
        <v>15</v>
      </c>
      <c r="X59" s="109">
        <f t="shared" si="7"/>
        <v>15</v>
      </c>
      <c r="Y59" s="89">
        <f t="shared" si="8"/>
        <v>150</v>
      </c>
      <c r="Z59" s="556">
        <f>(X59+X60)/2</f>
        <v>14.5</v>
      </c>
      <c r="AA59" s="558">
        <f>Z59/10*100</f>
        <v>145</v>
      </c>
      <c r="AB59" s="556">
        <f>IF(Z59&lt;=D59,Z59,D59)</f>
        <v>10</v>
      </c>
      <c r="AC59" s="556">
        <f>IF(Z59&gt;D59,Z59-D59,0)</f>
        <v>4.5</v>
      </c>
      <c r="AD59" s="552">
        <v>7</v>
      </c>
      <c r="AE59" s="560">
        <v>4</v>
      </c>
    </row>
    <row r="60" spans="1:31" s="1" customFormat="1" x14ac:dyDescent="0.25">
      <c r="A60" s="553"/>
      <c r="B60" s="555"/>
      <c r="C60" s="90" t="s">
        <v>238</v>
      </c>
      <c r="D60" s="91">
        <v>10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85"/>
      <c r="P60" s="85"/>
      <c r="Q60" s="85"/>
      <c r="R60" s="85"/>
      <c r="S60" s="85"/>
      <c r="T60" s="85"/>
      <c r="U60" s="85"/>
      <c r="V60" s="88">
        <f>SUMIF('Наставни ансамбл'!J378:J585,"Добринко Дринић",'Наставни ансамбл'!H378:H585)</f>
        <v>14</v>
      </c>
      <c r="W60" s="106">
        <f t="shared" si="9"/>
        <v>14</v>
      </c>
      <c r="X60" s="109">
        <f t="shared" si="7"/>
        <v>14</v>
      </c>
      <c r="Y60" s="93">
        <f t="shared" si="8"/>
        <v>140</v>
      </c>
      <c r="Z60" s="557"/>
      <c r="AA60" s="559"/>
      <c r="AB60" s="557"/>
      <c r="AC60" s="557"/>
      <c r="AD60" s="553"/>
      <c r="AE60" s="604"/>
    </row>
    <row r="61" spans="1:31" s="1" customFormat="1" x14ac:dyDescent="0.25">
      <c r="A61" s="552">
        <v>26</v>
      </c>
      <c r="B61" s="554" t="s">
        <v>410</v>
      </c>
      <c r="C61" s="83" t="s">
        <v>237</v>
      </c>
      <c r="D61" s="84">
        <v>10</v>
      </c>
      <c r="E61" s="85"/>
      <c r="F61" s="85"/>
      <c r="G61" s="85"/>
      <c r="H61" s="85"/>
      <c r="I61" s="85"/>
      <c r="J61" s="85"/>
      <c r="K61" s="85"/>
      <c r="L61" s="85"/>
      <c r="M61" s="84"/>
      <c r="N61" s="84"/>
      <c r="O61" s="85"/>
      <c r="P61" s="85"/>
      <c r="Q61" s="85"/>
      <c r="R61" s="85"/>
      <c r="S61" s="85"/>
      <c r="T61" s="85"/>
      <c r="U61" s="85"/>
      <c r="V61" s="88">
        <f>SUMIF('Наставни ансамбл'!J16:J370,"Неда Гаврић",'Наставни ансамбл'!H16:H370)</f>
        <v>4</v>
      </c>
      <c r="W61" s="87">
        <f t="shared" si="9"/>
        <v>4</v>
      </c>
      <c r="X61" s="109">
        <f t="shared" si="7"/>
        <v>4</v>
      </c>
      <c r="Y61" s="89">
        <f t="shared" si="8"/>
        <v>40</v>
      </c>
      <c r="Z61" s="556">
        <f>(X61+X62)/2</f>
        <v>6.5</v>
      </c>
      <c r="AA61" s="558">
        <f>Z61/10*100</f>
        <v>65</v>
      </c>
      <c r="AB61" s="556">
        <f>IF(Z61&lt;=D61,Z61,D61)</f>
        <v>6.5</v>
      </c>
      <c r="AC61" s="556">
        <f>IF(Z61&gt;D61,Z61-D61,0)</f>
        <v>0</v>
      </c>
      <c r="AD61" s="552">
        <v>7</v>
      </c>
      <c r="AE61" s="560">
        <v>4</v>
      </c>
    </row>
    <row r="62" spans="1:31" s="1" customFormat="1" x14ac:dyDescent="0.25">
      <c r="A62" s="553"/>
      <c r="B62" s="555"/>
      <c r="C62" s="90" t="s">
        <v>238</v>
      </c>
      <c r="D62" s="91">
        <v>10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85"/>
      <c r="P62" s="85"/>
      <c r="Q62" s="85"/>
      <c r="R62" s="85"/>
      <c r="S62" s="85"/>
      <c r="T62" s="85"/>
      <c r="U62" s="85"/>
      <c r="V62" s="88">
        <f>SUMIF('Наставни ансамбл'!J380:J761,"Неда Гаврић",'Наставни ансамбл'!H380:H761)</f>
        <v>9</v>
      </c>
      <c r="W62" s="106">
        <f t="shared" si="9"/>
        <v>9</v>
      </c>
      <c r="X62" s="109">
        <f t="shared" si="7"/>
        <v>9</v>
      </c>
      <c r="Y62" s="93">
        <f t="shared" si="8"/>
        <v>90</v>
      </c>
      <c r="Z62" s="557"/>
      <c r="AA62" s="559"/>
      <c r="AB62" s="557"/>
      <c r="AC62" s="557"/>
      <c r="AD62" s="553"/>
      <c r="AE62" s="604"/>
    </row>
    <row r="63" spans="1:31" s="1" customFormat="1" x14ac:dyDescent="0.25">
      <c r="A63" s="261"/>
      <c r="B63" s="605" t="s">
        <v>251</v>
      </c>
      <c r="C63" s="606" t="s">
        <v>237</v>
      </c>
      <c r="D63" s="606"/>
      <c r="E63" s="260"/>
      <c r="F63" s="260"/>
      <c r="G63" s="260"/>
      <c r="H63" s="260"/>
      <c r="I63" s="260"/>
      <c r="J63" s="260"/>
      <c r="K63" s="260"/>
      <c r="L63" s="260"/>
      <c r="M63" s="260"/>
      <c r="N63" s="257">
        <f>SUM(N51:N60)</f>
        <v>0</v>
      </c>
      <c r="O63" s="257"/>
      <c r="P63" s="257"/>
      <c r="Q63" s="257"/>
      <c r="R63" s="257"/>
      <c r="S63" s="257"/>
      <c r="T63" s="257"/>
      <c r="U63" s="257"/>
      <c r="V63" s="257">
        <f>V45+V51+V53+V55+V57+V59</f>
        <v>40</v>
      </c>
      <c r="W63" s="257">
        <f>W45+W51+W53+W55+W57+W59</f>
        <v>46</v>
      </c>
      <c r="X63" s="257">
        <f>X45+X51+X53+X57+X59</f>
        <v>49.6</v>
      </c>
      <c r="Y63" s="93"/>
      <c r="Z63" s="607">
        <f>SUM(Z45:Z60)</f>
        <v>172.8</v>
      </c>
      <c r="AA63" s="101"/>
      <c r="AB63" s="607">
        <f>SUM(AB45:AB60)</f>
        <v>125.10000000000001</v>
      </c>
      <c r="AC63" s="607">
        <f>SUM(AC45:AC60)</f>
        <v>47.699999999999996</v>
      </c>
      <c r="AD63" s="552"/>
      <c r="AE63" s="552"/>
    </row>
    <row r="64" spans="1:31" s="1" customFormat="1" x14ac:dyDescent="0.25">
      <c r="A64" s="261"/>
      <c r="B64" s="605"/>
      <c r="C64" s="608" t="s">
        <v>238</v>
      </c>
      <c r="D64" s="608"/>
      <c r="E64" s="257"/>
      <c r="F64" s="257"/>
      <c r="G64" s="257"/>
      <c r="H64" s="257"/>
      <c r="I64" s="257"/>
      <c r="J64" s="257"/>
      <c r="K64" s="257"/>
      <c r="L64" s="257"/>
      <c r="M64" s="257"/>
      <c r="N64" s="257">
        <f>SUM(N60)</f>
        <v>0</v>
      </c>
      <c r="O64" s="257"/>
      <c r="P64" s="257"/>
      <c r="Q64" s="257"/>
      <c r="R64" s="257"/>
      <c r="S64" s="257"/>
      <c r="T64" s="257"/>
      <c r="U64" s="257"/>
      <c r="V64" s="257">
        <f>V46+V52+V54+V56+V58+V60</f>
        <v>28</v>
      </c>
      <c r="W64" s="257">
        <f>W46+W52+W54+W56+W58+W60</f>
        <v>33</v>
      </c>
      <c r="X64" s="257">
        <f>X46+X52+X54+X56+X58+X60</f>
        <v>36.200000000000003</v>
      </c>
      <c r="Y64" s="93"/>
      <c r="Z64" s="607"/>
      <c r="AA64" s="101"/>
      <c r="AB64" s="607"/>
      <c r="AC64" s="607"/>
      <c r="AD64" s="583"/>
      <c r="AE64" s="583"/>
    </row>
    <row r="65" spans="1:31" s="1" customFormat="1" x14ac:dyDescent="0.25">
      <c r="A65" s="261"/>
      <c r="B65" s="605" t="s">
        <v>251</v>
      </c>
      <c r="C65" s="606" t="s">
        <v>237</v>
      </c>
      <c r="D65" s="606"/>
      <c r="E65" s="260"/>
      <c r="F65" s="260"/>
      <c r="G65" s="260"/>
      <c r="H65" s="260"/>
      <c r="I65" s="260"/>
      <c r="J65" s="260"/>
      <c r="K65" s="260"/>
      <c r="L65" s="260"/>
      <c r="M65" s="260"/>
      <c r="N65" s="257">
        <f>SUM(N47:N64)</f>
        <v>171</v>
      </c>
      <c r="O65" s="257"/>
      <c r="P65" s="257"/>
      <c r="Q65" s="257"/>
      <c r="R65" s="257"/>
      <c r="S65" s="257"/>
      <c r="T65" s="257"/>
      <c r="U65" s="257"/>
      <c r="V65" s="257">
        <f>V47+V53+V55+V57+V59+V63</f>
        <v>137</v>
      </c>
      <c r="W65" s="257">
        <f>W47+W53+W55+W57+W59+W63</f>
        <v>143</v>
      </c>
      <c r="X65" s="257">
        <f>X47+X53+X55+X59+X63</f>
        <v>180.4</v>
      </c>
      <c r="Y65" s="93"/>
      <c r="Z65" s="607">
        <f>SUM(Z47:Z64)</f>
        <v>339.70000000000005</v>
      </c>
      <c r="AA65" s="101"/>
      <c r="AB65" s="607">
        <f>SUM(AB47:AB64)</f>
        <v>250.70000000000002</v>
      </c>
      <c r="AC65" s="607">
        <f>SUM(AC47:AC64)</f>
        <v>89</v>
      </c>
      <c r="AD65" s="552"/>
      <c r="AE65" s="552"/>
    </row>
    <row r="66" spans="1:31" s="1" customFormat="1" x14ac:dyDescent="0.25">
      <c r="A66" s="261"/>
      <c r="B66" s="605"/>
      <c r="C66" s="608" t="s">
        <v>238</v>
      </c>
      <c r="D66" s="608"/>
      <c r="E66" s="257"/>
      <c r="F66" s="257"/>
      <c r="G66" s="257"/>
      <c r="H66" s="257"/>
      <c r="I66" s="257"/>
      <c r="J66" s="257"/>
      <c r="K66" s="257"/>
      <c r="L66" s="257"/>
      <c r="M66" s="257"/>
      <c r="N66" s="257">
        <f>SUM(N64)</f>
        <v>0</v>
      </c>
      <c r="O66" s="257"/>
      <c r="P66" s="257"/>
      <c r="Q66" s="257"/>
      <c r="R66" s="257"/>
      <c r="S66" s="257"/>
      <c r="T66" s="257"/>
      <c r="U66" s="257"/>
      <c r="V66" s="257">
        <f>V48+V54+V56+V58+V60+V64</f>
        <v>129</v>
      </c>
      <c r="W66" s="257">
        <f>W48+W54+W56+W58+W60+W64</f>
        <v>134</v>
      </c>
      <c r="X66" s="257">
        <f>X48+X54+X56+X58+X60+X64</f>
        <v>201.2</v>
      </c>
      <c r="Y66" s="93"/>
      <c r="Z66" s="607"/>
      <c r="AA66" s="101"/>
      <c r="AB66" s="607"/>
      <c r="AC66" s="607"/>
      <c r="AD66" s="583"/>
      <c r="AE66" s="583"/>
    </row>
    <row r="67" spans="1:31" s="1" customFormat="1" x14ac:dyDescent="0.25">
      <c r="A67" s="100"/>
      <c r="B67" s="102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103"/>
      <c r="Z67" s="110"/>
      <c r="AA67" s="104"/>
      <c r="AB67" s="104"/>
      <c r="AC67" s="104"/>
      <c r="AD67" s="100"/>
      <c r="AE67" s="100"/>
    </row>
    <row r="68" spans="1:31" s="1" customFormat="1" x14ac:dyDescent="0.25">
      <c r="A68" s="76" t="s">
        <v>253</v>
      </c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X68" s="77"/>
      <c r="Y68" s="77"/>
      <c r="AD68" s="100"/>
      <c r="AE68" s="100"/>
    </row>
    <row r="69" spans="1:31" s="1" customFormat="1" x14ac:dyDescent="0.25"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X69" s="77"/>
      <c r="Y69" s="77"/>
      <c r="AD69" s="100"/>
      <c r="AE69" s="100"/>
    </row>
    <row r="70" spans="1:31" s="1" customFormat="1" x14ac:dyDescent="0.25">
      <c r="A70" s="570" t="s">
        <v>213</v>
      </c>
      <c r="B70" s="570" t="s">
        <v>214</v>
      </c>
      <c r="C70" s="571" t="s">
        <v>215</v>
      </c>
      <c r="D70" s="573" t="s">
        <v>216</v>
      </c>
      <c r="E70" s="258"/>
      <c r="F70" s="258"/>
      <c r="G70" s="258"/>
      <c r="H70" s="258"/>
      <c r="I70" s="258"/>
      <c r="J70" s="258"/>
      <c r="K70" s="258"/>
      <c r="L70" s="258"/>
      <c r="M70" s="258"/>
      <c r="N70" s="548"/>
      <c r="O70" s="255"/>
      <c r="P70" s="255"/>
      <c r="Q70" s="255"/>
      <c r="R70" s="255"/>
      <c r="S70" s="255"/>
      <c r="T70" s="255"/>
      <c r="U70" s="255"/>
      <c r="V70" s="255"/>
      <c r="W70" s="548"/>
      <c r="X70" s="564"/>
      <c r="Y70" s="566"/>
      <c r="Z70" s="564"/>
      <c r="AA70" s="566"/>
      <c r="AB70" s="548" t="s">
        <v>225</v>
      </c>
      <c r="AC70" s="548" t="s">
        <v>226</v>
      </c>
      <c r="AD70" s="550"/>
      <c r="AE70" s="551"/>
    </row>
    <row r="71" spans="1:31" s="1" customFormat="1" x14ac:dyDescent="0.25">
      <c r="A71" s="570"/>
      <c r="B71" s="570"/>
      <c r="C71" s="572"/>
      <c r="D71" s="573"/>
      <c r="E71" s="259"/>
      <c r="F71" s="259"/>
      <c r="G71" s="259"/>
      <c r="H71" s="259"/>
      <c r="I71" s="259"/>
      <c r="J71" s="259"/>
      <c r="K71" s="259"/>
      <c r="L71" s="259"/>
      <c r="M71" s="259"/>
      <c r="N71" s="549"/>
      <c r="O71" s="256"/>
      <c r="P71" s="256"/>
      <c r="Q71" s="256"/>
      <c r="R71" s="256"/>
      <c r="S71" s="256"/>
      <c r="T71" s="256"/>
      <c r="U71" s="256"/>
      <c r="V71" s="256"/>
      <c r="W71" s="549"/>
      <c r="X71" s="565"/>
      <c r="Y71" s="567"/>
      <c r="Z71" s="565"/>
      <c r="AA71" s="567"/>
      <c r="AB71" s="549"/>
      <c r="AC71" s="549"/>
      <c r="AD71" s="78"/>
      <c r="AE71" s="78"/>
    </row>
    <row r="72" spans="1:31" s="1" customFormat="1" x14ac:dyDescent="0.25"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X72" s="77"/>
      <c r="Y72" s="77"/>
      <c r="AD72" s="100"/>
      <c r="AE72" s="100"/>
    </row>
    <row r="73" spans="1:31" s="1" customFormat="1" x14ac:dyDescent="0.25">
      <c r="A73" s="552">
        <v>1</v>
      </c>
      <c r="B73" s="609" t="s">
        <v>405</v>
      </c>
      <c r="C73" s="83" t="s">
        <v>237</v>
      </c>
      <c r="D73" s="84">
        <v>6</v>
      </c>
      <c r="E73" s="84"/>
      <c r="F73" s="84"/>
      <c r="G73" s="84"/>
      <c r="H73" s="84"/>
      <c r="I73" s="84"/>
      <c r="J73" s="84"/>
      <c r="K73" s="84"/>
      <c r="L73" s="84"/>
      <c r="M73" s="86">
        <f>SUMIF('Наставни ансамбл'!J14:J220,"Биљана Марковић",'Наставни ансамбл'!G14:G220)</f>
        <v>2</v>
      </c>
      <c r="N73" s="84"/>
      <c r="O73" s="86"/>
      <c r="P73" s="86"/>
      <c r="Q73" s="86"/>
      <c r="R73" s="86"/>
      <c r="S73" s="86"/>
      <c r="T73" s="86"/>
      <c r="U73" s="86"/>
      <c r="V73" s="340">
        <f>SUMIF('Наставни ансамбл'!J14:J220,"Биљана Марковић",'Наставни ансамбл'!H14:H220)</f>
        <v>0</v>
      </c>
      <c r="W73" s="84"/>
      <c r="X73" s="84">
        <f>M73+(V73*0.6)</f>
        <v>2</v>
      </c>
      <c r="Y73" s="89">
        <f t="shared" ref="Y73:Y106" si="10">X73/D73*100</f>
        <v>33.333333333333329</v>
      </c>
      <c r="Z73" s="556">
        <f>(X73+X74)/2</f>
        <v>2</v>
      </c>
      <c r="AA73" s="558">
        <f>Z73/D73*100</f>
        <v>33.333333333333329</v>
      </c>
      <c r="AB73" s="556" t="s">
        <v>254</v>
      </c>
      <c r="AC73" s="556">
        <f>IF(Z73&gt;D73,Z73-D73,0)</f>
        <v>0</v>
      </c>
      <c r="AD73" s="560">
        <v>1</v>
      </c>
      <c r="AE73" s="560">
        <v>1</v>
      </c>
    </row>
    <row r="74" spans="1:31" s="1" customFormat="1" x14ac:dyDescent="0.25">
      <c r="A74" s="553"/>
      <c r="B74" s="610"/>
      <c r="C74" s="90" t="s">
        <v>238</v>
      </c>
      <c r="D74" s="140">
        <v>6</v>
      </c>
      <c r="E74" s="140"/>
      <c r="F74" s="140"/>
      <c r="G74" s="140"/>
      <c r="H74" s="140"/>
      <c r="I74" s="140"/>
      <c r="J74" s="140"/>
      <c r="K74" s="140"/>
      <c r="L74" s="140"/>
      <c r="M74" s="86">
        <f>SUMIF('Наставни ансамбл'!J378:J585,"Биљана Марковић",'Наставни ансамбл'!G378:G585)</f>
        <v>2</v>
      </c>
      <c r="N74" s="140"/>
      <c r="O74" s="86"/>
      <c r="P74" s="86"/>
      <c r="Q74" s="86"/>
      <c r="R74" s="86"/>
      <c r="S74" s="86"/>
      <c r="T74" s="86"/>
      <c r="U74" s="86"/>
      <c r="V74" s="340">
        <f>SUMIF('Наставни ансамбл'!J378:J585,"Биљана Марковић",'Наставни ансамбл'!H378:H585)</f>
        <v>0</v>
      </c>
      <c r="W74" s="140"/>
      <c r="X74" s="91">
        <f t="shared" ref="X74:X92" si="11">M74+(V74*0.6)</f>
        <v>2</v>
      </c>
      <c r="Y74" s="132">
        <f t="shared" si="10"/>
        <v>33.333333333333329</v>
      </c>
      <c r="Z74" s="557"/>
      <c r="AA74" s="559"/>
      <c r="AB74" s="557"/>
      <c r="AC74" s="557"/>
      <c r="AD74" s="604"/>
      <c r="AE74" s="604"/>
    </row>
    <row r="75" spans="1:31" s="1" customFormat="1" x14ac:dyDescent="0.25">
      <c r="A75" s="585">
        <v>2</v>
      </c>
      <c r="B75" s="611" t="s">
        <v>106</v>
      </c>
      <c r="C75" s="83" t="s">
        <v>237</v>
      </c>
      <c r="D75" s="105">
        <v>6</v>
      </c>
      <c r="E75" s="105"/>
      <c r="F75" s="105"/>
      <c r="G75" s="105"/>
      <c r="H75" s="105"/>
      <c r="I75" s="105"/>
      <c r="J75" s="105"/>
      <c r="K75" s="105"/>
      <c r="L75" s="105"/>
      <c r="M75" s="342">
        <f>SUMIF('Наставни ансамбл'!J14:J220,"Светлана Пелемиш",'Наставни ансамбл'!G14:G220)</f>
        <v>2</v>
      </c>
      <c r="N75" s="105"/>
      <c r="O75" s="112"/>
      <c r="P75" s="112"/>
      <c r="Q75" s="112"/>
      <c r="R75" s="112"/>
      <c r="S75" s="112"/>
      <c r="T75" s="112"/>
      <c r="U75" s="112"/>
      <c r="V75" s="341">
        <f>SUMIF('Наставни ансамбл'!J14:J220,"Светлана Пелемиш",'Наставни ансамбл'!H14:H220)</f>
        <v>2</v>
      </c>
      <c r="W75" s="105"/>
      <c r="X75" s="84">
        <f t="shared" si="11"/>
        <v>3.2</v>
      </c>
      <c r="Y75" s="89">
        <f t="shared" si="10"/>
        <v>53.333333333333336</v>
      </c>
      <c r="Z75" s="591">
        <f>(X75+X76)/2</f>
        <v>3.2</v>
      </c>
      <c r="AA75" s="592">
        <f>Z75/10*100</f>
        <v>32</v>
      </c>
      <c r="AB75" s="556" t="s">
        <v>254</v>
      </c>
      <c r="AC75" s="556">
        <f>IF(Z75&gt;D75,Z75-D75,0)</f>
        <v>0</v>
      </c>
      <c r="AD75" s="585">
        <v>1</v>
      </c>
      <c r="AE75" s="585">
        <v>1</v>
      </c>
    </row>
    <row r="76" spans="1:31" s="1" customFormat="1" ht="15" customHeight="1" x14ac:dyDescent="0.25">
      <c r="A76" s="553"/>
      <c r="B76" s="581"/>
      <c r="C76" s="90" t="s">
        <v>238</v>
      </c>
      <c r="D76" s="131">
        <v>6</v>
      </c>
      <c r="E76" s="131"/>
      <c r="F76" s="131"/>
      <c r="G76" s="131"/>
      <c r="H76" s="131"/>
      <c r="I76" s="131"/>
      <c r="J76" s="131"/>
      <c r="K76" s="131"/>
      <c r="L76" s="131"/>
      <c r="M76" s="86">
        <f>SUMIF('Наставни ансамбл'!J378:J585,"Светлана Пелемиш",'Наставни ансамбл'!G378:G585)</f>
        <v>2</v>
      </c>
      <c r="N76" s="131"/>
      <c r="O76" s="86"/>
      <c r="P76" s="86"/>
      <c r="Q76" s="86"/>
      <c r="R76" s="86"/>
      <c r="S76" s="86"/>
      <c r="T76" s="86"/>
      <c r="U76" s="86"/>
      <c r="V76" s="340">
        <f>SUMIF('Наставни ансамбл'!J378:J585,"Светлана Пелемиш",'Наставни ансамбл'!H378:H585)</f>
        <v>2</v>
      </c>
      <c r="W76" s="131"/>
      <c r="X76" s="91">
        <f t="shared" si="11"/>
        <v>3.2</v>
      </c>
      <c r="Y76" s="132">
        <f t="shared" si="10"/>
        <v>53.333333333333336</v>
      </c>
      <c r="Z76" s="557"/>
      <c r="AA76" s="559"/>
      <c r="AB76" s="557"/>
      <c r="AC76" s="557"/>
      <c r="AD76" s="553"/>
      <c r="AE76" s="553"/>
    </row>
    <row r="77" spans="1:31" s="1" customFormat="1" x14ac:dyDescent="0.25">
      <c r="A77" s="585">
        <v>3</v>
      </c>
      <c r="B77" s="611" t="s">
        <v>110</v>
      </c>
      <c r="C77" s="83" t="s">
        <v>237</v>
      </c>
      <c r="D77" s="105">
        <v>6</v>
      </c>
      <c r="E77" s="105"/>
      <c r="F77" s="105"/>
      <c r="G77" s="105"/>
      <c r="H77" s="105"/>
      <c r="I77" s="105"/>
      <c r="J77" s="105"/>
      <c r="K77" s="105"/>
      <c r="L77" s="105"/>
      <c r="M77" s="112">
        <f>SUMIF('Наставни ансамбл'!J14:J220,"Предраг Катанић",'Наставни ансамбл'!G14:G220)</f>
        <v>2</v>
      </c>
      <c r="N77" s="105"/>
      <c r="O77" s="112"/>
      <c r="P77" s="112"/>
      <c r="Q77" s="112"/>
      <c r="R77" s="112"/>
      <c r="S77" s="112"/>
      <c r="T77" s="112"/>
      <c r="U77" s="112"/>
      <c r="V77" s="341">
        <f>SUMIF('Наставни ансамбл'!J14:J220,"Предраг Катанић",'Наставни ансамбл'!H14:H220)</f>
        <v>0</v>
      </c>
      <c r="W77" s="105"/>
      <c r="X77" s="84">
        <f t="shared" si="11"/>
        <v>2</v>
      </c>
      <c r="Y77" s="89">
        <f t="shared" si="10"/>
        <v>33.333333333333329</v>
      </c>
      <c r="Z77" s="591">
        <f>(X77+X78)/2</f>
        <v>2</v>
      </c>
      <c r="AA77" s="592">
        <f>Z77/10*100</f>
        <v>20</v>
      </c>
      <c r="AB77" s="556" t="s">
        <v>254</v>
      </c>
      <c r="AC77" s="556">
        <f>IF(Z77&gt;D77,Z77-D77,0)</f>
        <v>0</v>
      </c>
      <c r="AD77" s="585">
        <v>2</v>
      </c>
      <c r="AE77" s="585">
        <v>1</v>
      </c>
    </row>
    <row r="78" spans="1:31" s="1" customFormat="1" ht="15" customHeight="1" x14ac:dyDescent="0.25">
      <c r="A78" s="553"/>
      <c r="B78" s="581"/>
      <c r="C78" s="90" t="s">
        <v>238</v>
      </c>
      <c r="D78" s="131">
        <v>6</v>
      </c>
      <c r="E78" s="131"/>
      <c r="F78" s="131"/>
      <c r="G78" s="131"/>
      <c r="H78" s="131"/>
      <c r="I78" s="131"/>
      <c r="J78" s="131"/>
      <c r="K78" s="131"/>
      <c r="L78" s="131"/>
      <c r="M78" s="86">
        <f>SUMIF('Наставни ансамбл'!J378:J585,"Предраг Катанић",'Наставни ансамбл'!G378:G585)</f>
        <v>2</v>
      </c>
      <c r="N78" s="131"/>
      <c r="O78" s="86"/>
      <c r="P78" s="86"/>
      <c r="Q78" s="86"/>
      <c r="R78" s="86"/>
      <c r="S78" s="86"/>
      <c r="T78" s="86"/>
      <c r="U78" s="86"/>
      <c r="V78" s="340">
        <f>SUMIF('Наставни ансамбл'!J378:J585,"Предраг Катанић",'Наставни ансамбл'!H378:H585)</f>
        <v>0</v>
      </c>
      <c r="W78" s="131"/>
      <c r="X78" s="91">
        <f t="shared" si="11"/>
        <v>2</v>
      </c>
      <c r="Y78" s="132">
        <f t="shared" si="10"/>
        <v>33.333333333333329</v>
      </c>
      <c r="Z78" s="557"/>
      <c r="AA78" s="559"/>
      <c r="AB78" s="557"/>
      <c r="AC78" s="557"/>
      <c r="AD78" s="553"/>
      <c r="AE78" s="553"/>
    </row>
    <row r="79" spans="1:31" s="1" customFormat="1" x14ac:dyDescent="0.25">
      <c r="A79" s="585">
        <v>4</v>
      </c>
      <c r="B79" s="612" t="s">
        <v>530</v>
      </c>
      <c r="C79" s="83" t="s">
        <v>237</v>
      </c>
      <c r="D79" s="105">
        <v>6</v>
      </c>
      <c r="E79" s="105"/>
      <c r="F79" s="105"/>
      <c r="G79" s="105"/>
      <c r="H79" s="105"/>
      <c r="I79" s="105"/>
      <c r="J79" s="105"/>
      <c r="K79" s="105"/>
      <c r="L79" s="105"/>
      <c r="M79" s="112">
        <f>SUMIF('Наставни ансамбл'!J14:J220,"Владо Медаковић",'Наставни ансамбл'!G14:G220)</f>
        <v>0</v>
      </c>
      <c r="N79" s="105"/>
      <c r="O79" s="112"/>
      <c r="P79" s="112"/>
      <c r="Q79" s="112"/>
      <c r="R79" s="112"/>
      <c r="S79" s="112"/>
      <c r="T79" s="112"/>
      <c r="U79" s="112"/>
      <c r="V79" s="341">
        <f>SUMIF('Наставни ансамбл'!J14:J220,"Владо Медаковић",'Наставни ансамбл'!H14:H220)</f>
        <v>0</v>
      </c>
      <c r="W79" s="105"/>
      <c r="X79" s="84">
        <f t="shared" si="11"/>
        <v>0</v>
      </c>
      <c r="Y79" s="89">
        <f t="shared" si="10"/>
        <v>0</v>
      </c>
      <c r="Z79" s="591">
        <f>(X79+X80)/2</f>
        <v>1</v>
      </c>
      <c r="AA79" s="592">
        <f>Z79/10*100</f>
        <v>10</v>
      </c>
      <c r="AB79" s="556" t="s">
        <v>254</v>
      </c>
      <c r="AC79" s="556">
        <f>IF(Z79&gt;D79,Z79-D79,0)</f>
        <v>0</v>
      </c>
      <c r="AD79" s="585">
        <v>2</v>
      </c>
      <c r="AE79" s="585">
        <v>1</v>
      </c>
    </row>
    <row r="80" spans="1:31" s="1" customFormat="1" ht="15" customHeight="1" x14ac:dyDescent="0.25">
      <c r="A80" s="553"/>
      <c r="B80" s="610"/>
      <c r="C80" s="90" t="s">
        <v>238</v>
      </c>
      <c r="D80" s="131">
        <v>6</v>
      </c>
      <c r="E80" s="131"/>
      <c r="F80" s="131"/>
      <c r="G80" s="131"/>
      <c r="H80" s="131"/>
      <c r="I80" s="131"/>
      <c r="J80" s="131"/>
      <c r="K80" s="131"/>
      <c r="L80" s="131"/>
      <c r="M80" s="86">
        <f>SUMIF('Наставни ансамбл'!J378:J585,"Владо Медаковић",'Наставни ансамбл'!G378:G585)</f>
        <v>2</v>
      </c>
      <c r="N80" s="131"/>
      <c r="O80" s="86"/>
      <c r="P80" s="86"/>
      <c r="Q80" s="86"/>
      <c r="R80" s="86"/>
      <c r="S80" s="86"/>
      <c r="T80" s="86"/>
      <c r="U80" s="86"/>
      <c r="V80" s="340">
        <f>SUMIF('Наставни ансамбл'!J378:J585,"Владо Медаковић",'Наставни ансамбл'!H378:H585)</f>
        <v>0</v>
      </c>
      <c r="W80" s="131"/>
      <c r="X80" s="91">
        <f t="shared" si="11"/>
        <v>2</v>
      </c>
      <c r="Y80" s="132">
        <f t="shared" si="10"/>
        <v>33.333333333333329</v>
      </c>
      <c r="Z80" s="557"/>
      <c r="AA80" s="559"/>
      <c r="AB80" s="557"/>
      <c r="AC80" s="557"/>
      <c r="AD80" s="553"/>
      <c r="AE80" s="553"/>
    </row>
    <row r="81" spans="1:31" s="1" customFormat="1" x14ac:dyDescent="0.25">
      <c r="A81" s="585">
        <v>5</v>
      </c>
      <c r="B81" s="611" t="s">
        <v>115</v>
      </c>
      <c r="C81" s="83" t="s">
        <v>237</v>
      </c>
      <c r="D81" s="105">
        <v>6</v>
      </c>
      <c r="E81" s="105"/>
      <c r="F81" s="105"/>
      <c r="G81" s="105"/>
      <c r="H81" s="105"/>
      <c r="I81" s="105"/>
      <c r="J81" s="105"/>
      <c r="K81" s="105"/>
      <c r="L81" s="105"/>
      <c r="M81" s="112">
        <f>SUMIF('Наставни ансамбл'!J14:J220,"Слободан Лубура",'Наставни ансамбл'!G14:G220)</f>
        <v>2</v>
      </c>
      <c r="N81" s="105"/>
      <c r="O81" s="112"/>
      <c r="P81" s="112"/>
      <c r="Q81" s="112"/>
      <c r="R81" s="112"/>
      <c r="S81" s="112"/>
      <c r="T81" s="112"/>
      <c r="U81" s="112"/>
      <c r="V81" s="341">
        <f>SUMIF('Наставни ансамбл'!J14:J220,"Слободан Лубура",'Наставни ансамбл'!H14:H220)</f>
        <v>0</v>
      </c>
      <c r="W81" s="105"/>
      <c r="X81" s="84">
        <f t="shared" si="11"/>
        <v>2</v>
      </c>
      <c r="Y81" s="89">
        <f t="shared" si="10"/>
        <v>33.333333333333329</v>
      </c>
      <c r="Z81" s="591">
        <f>(X81+X82)/2</f>
        <v>2</v>
      </c>
      <c r="AA81" s="592">
        <f>Z81/10*100</f>
        <v>20</v>
      </c>
      <c r="AB81" s="556" t="s">
        <v>254</v>
      </c>
      <c r="AC81" s="556">
        <f>IF(Z81&gt;D81,Z81-D81,0)</f>
        <v>0</v>
      </c>
      <c r="AD81" s="585">
        <v>1</v>
      </c>
      <c r="AE81" s="585">
        <v>1</v>
      </c>
    </row>
    <row r="82" spans="1:31" s="1" customFormat="1" ht="15" customHeight="1" x14ac:dyDescent="0.25">
      <c r="A82" s="553"/>
      <c r="B82" s="581"/>
      <c r="C82" s="90" t="s">
        <v>238</v>
      </c>
      <c r="D82" s="131">
        <v>6</v>
      </c>
      <c r="E82" s="131"/>
      <c r="F82" s="131"/>
      <c r="G82" s="131"/>
      <c r="H82" s="131"/>
      <c r="I82" s="131"/>
      <c r="J82" s="131"/>
      <c r="K82" s="131"/>
      <c r="L82" s="131"/>
      <c r="M82" s="86">
        <f>SUMIF('Наставни ансамбл'!J378:J585,"Слободан Лубура",'Наставни ансамбл'!G378:G585)</f>
        <v>2</v>
      </c>
      <c r="N82" s="131"/>
      <c r="O82" s="86"/>
      <c r="P82" s="86"/>
      <c r="Q82" s="86"/>
      <c r="R82" s="86"/>
      <c r="S82" s="86"/>
      <c r="T82" s="86"/>
      <c r="U82" s="86"/>
      <c r="V82" s="340">
        <f>SUMIF('Наставни ансамбл'!J378:J585,"Слободан Лубура",'Наставни ансамбл'!H378:H585)</f>
        <v>0</v>
      </c>
      <c r="W82" s="131"/>
      <c r="X82" s="91">
        <f t="shared" si="11"/>
        <v>2</v>
      </c>
      <c r="Y82" s="132">
        <f t="shared" si="10"/>
        <v>33.333333333333329</v>
      </c>
      <c r="Z82" s="557"/>
      <c r="AA82" s="559"/>
      <c r="AB82" s="557"/>
      <c r="AC82" s="557"/>
      <c r="AD82" s="553"/>
      <c r="AE82" s="553"/>
    </row>
    <row r="83" spans="1:31" s="1" customFormat="1" x14ac:dyDescent="0.25">
      <c r="A83" s="585">
        <v>6</v>
      </c>
      <c r="B83" s="612" t="s">
        <v>200</v>
      </c>
      <c r="C83" s="83" t="s">
        <v>237</v>
      </c>
      <c r="D83" s="105">
        <v>6</v>
      </c>
      <c r="E83" s="105"/>
      <c r="F83" s="105"/>
      <c r="G83" s="105"/>
      <c r="H83" s="105"/>
      <c r="I83" s="105"/>
      <c r="J83" s="105"/>
      <c r="K83" s="105"/>
      <c r="L83" s="105"/>
      <c r="M83" s="112">
        <f>SUMIF('Наставни ансамбл'!J14:J220,"Драгомир Вуковић",'Наставни ансамбл'!G14:G220)</f>
        <v>0</v>
      </c>
      <c r="N83" s="105"/>
      <c r="O83" s="112"/>
      <c r="P83" s="112"/>
      <c r="Q83" s="112"/>
      <c r="R83" s="112"/>
      <c r="S83" s="112"/>
      <c r="T83" s="112"/>
      <c r="U83" s="112"/>
      <c r="V83" s="341">
        <f>SUMIF('Наставни ансамбл'!J14:J220,"Драгомир Вуковић",'Наставни ансамбл'!H14:H220)</f>
        <v>0</v>
      </c>
      <c r="W83" s="105"/>
      <c r="X83" s="84">
        <f t="shared" si="11"/>
        <v>0</v>
      </c>
      <c r="Y83" s="89">
        <f t="shared" si="10"/>
        <v>0</v>
      </c>
      <c r="Z83" s="591">
        <f>(X83+X84)/2</f>
        <v>0</v>
      </c>
      <c r="AA83" s="592">
        <f>Z83/10*100</f>
        <v>0</v>
      </c>
      <c r="AB83" s="556" t="s">
        <v>254</v>
      </c>
      <c r="AC83" s="556">
        <f>IF(Z83&gt;D83,Z83-D83,0)</f>
        <v>0</v>
      </c>
      <c r="AD83" s="585">
        <v>1</v>
      </c>
      <c r="AE83" s="585">
        <v>0</v>
      </c>
    </row>
    <row r="84" spans="1:31" s="1" customFormat="1" ht="15" customHeight="1" x14ac:dyDescent="0.25">
      <c r="A84" s="553"/>
      <c r="B84" s="610"/>
      <c r="C84" s="90" t="s">
        <v>238</v>
      </c>
      <c r="D84" s="131">
        <v>6</v>
      </c>
      <c r="E84" s="131"/>
      <c r="F84" s="131"/>
      <c r="G84" s="131"/>
      <c r="H84" s="131"/>
      <c r="I84" s="131"/>
      <c r="J84" s="131"/>
      <c r="K84" s="131"/>
      <c r="L84" s="131"/>
      <c r="M84" s="86">
        <f>SUMIF('Наставни ансамбл'!J378:J585,"Драгомир Вуковић",'Наставни ансамбл'!G378:G585)</f>
        <v>0</v>
      </c>
      <c r="N84" s="131"/>
      <c r="O84" s="86"/>
      <c r="P84" s="86"/>
      <c r="Q84" s="86"/>
      <c r="R84" s="86"/>
      <c r="S84" s="86"/>
      <c r="T84" s="86"/>
      <c r="U84" s="86"/>
      <c r="V84" s="340">
        <f>SUMIF('Наставни ансамбл'!J378:J585,"Драгомир Вуковић",'Наставни ансамбл'!H378:H585)</f>
        <v>0</v>
      </c>
      <c r="W84" s="131"/>
      <c r="X84" s="91">
        <f t="shared" si="11"/>
        <v>0</v>
      </c>
      <c r="Y84" s="132">
        <f t="shared" si="10"/>
        <v>0</v>
      </c>
      <c r="Z84" s="557"/>
      <c r="AA84" s="559"/>
      <c r="AB84" s="557"/>
      <c r="AC84" s="557"/>
      <c r="AD84" s="553"/>
      <c r="AE84" s="553"/>
    </row>
    <row r="85" spans="1:31" s="1" customFormat="1" ht="15" customHeight="1" x14ac:dyDescent="0.25">
      <c r="A85" s="588">
        <v>7</v>
      </c>
      <c r="B85" s="580" t="s">
        <v>382</v>
      </c>
      <c r="C85" s="83" t="s">
        <v>237</v>
      </c>
      <c r="D85" s="105">
        <v>6</v>
      </c>
      <c r="E85" s="105"/>
      <c r="F85" s="105"/>
      <c r="G85" s="105"/>
      <c r="H85" s="105"/>
      <c r="I85" s="105"/>
      <c r="J85" s="105"/>
      <c r="K85" s="105"/>
      <c r="L85" s="105"/>
      <c r="M85" s="112">
        <f>SUMIF('Наставни ансамбл'!J14:J220,"Слађана Петронић",'Наставни ансамбл'!G14:G220)</f>
        <v>0</v>
      </c>
      <c r="N85" s="105"/>
      <c r="O85" s="112"/>
      <c r="P85" s="112"/>
      <c r="Q85" s="112"/>
      <c r="R85" s="112"/>
      <c r="S85" s="112"/>
      <c r="T85" s="112"/>
      <c r="U85" s="112"/>
      <c r="V85" s="341">
        <f>SUMIF('Наставни ансамбл'!J14:J220,"Слађана Петронић",'Наставни ансамбл'!H14:H220)</f>
        <v>0</v>
      </c>
      <c r="W85" s="105"/>
      <c r="X85" s="84">
        <f t="shared" si="11"/>
        <v>0</v>
      </c>
      <c r="Y85" s="89">
        <f t="shared" si="10"/>
        <v>0</v>
      </c>
      <c r="Z85" s="591">
        <f>(X85+X86)/2</f>
        <v>0</v>
      </c>
      <c r="AA85" s="592">
        <f>Z85/10*100</f>
        <v>0</v>
      </c>
      <c r="AB85" s="556" t="s">
        <v>254</v>
      </c>
      <c r="AC85" s="556">
        <f>IF(Z85&gt;D85,Z85-D85,0)</f>
        <v>0</v>
      </c>
      <c r="AD85" s="585">
        <v>1</v>
      </c>
      <c r="AE85" s="585">
        <v>4</v>
      </c>
    </row>
    <row r="86" spans="1:31" s="1" customFormat="1" ht="15" customHeight="1" x14ac:dyDescent="0.25">
      <c r="A86" s="613"/>
      <c r="B86" s="581"/>
      <c r="C86" s="90" t="s">
        <v>238</v>
      </c>
      <c r="D86" s="131">
        <v>6</v>
      </c>
      <c r="E86" s="131"/>
      <c r="F86" s="131"/>
      <c r="G86" s="131"/>
      <c r="H86" s="131"/>
      <c r="I86" s="131"/>
      <c r="J86" s="131"/>
      <c r="K86" s="131"/>
      <c r="L86" s="131"/>
      <c r="M86" s="112">
        <f>SUMIF('Наставни ансамбл'!J378:J585,"Слађана Петронић",'Наставни ансамбл'!G378:G585)</f>
        <v>0</v>
      </c>
      <c r="N86" s="131"/>
      <c r="O86" s="112"/>
      <c r="P86" s="112"/>
      <c r="Q86" s="112"/>
      <c r="R86" s="112"/>
      <c r="S86" s="112"/>
      <c r="T86" s="112"/>
      <c r="U86" s="112"/>
      <c r="V86" s="341">
        <f>SUMIF('Наставни ансамбл'!J378:J585,"Слађана Петронић",'Наставни ансамбл'!H378:H585)</f>
        <v>0</v>
      </c>
      <c r="W86" s="131"/>
      <c r="X86" s="91">
        <f t="shared" si="11"/>
        <v>0</v>
      </c>
      <c r="Y86" s="132">
        <f t="shared" si="10"/>
        <v>0</v>
      </c>
      <c r="Z86" s="557"/>
      <c r="AA86" s="559"/>
      <c r="AB86" s="557"/>
      <c r="AC86" s="557"/>
      <c r="AD86" s="553"/>
      <c r="AE86" s="553"/>
    </row>
    <row r="87" spans="1:31" s="1" customFormat="1" ht="15" customHeight="1" x14ac:dyDescent="0.25">
      <c r="A87" s="613">
        <v>8</v>
      </c>
      <c r="B87" s="580" t="s">
        <v>279</v>
      </c>
      <c r="C87" s="83" t="s">
        <v>237</v>
      </c>
      <c r="D87" s="105">
        <v>6</v>
      </c>
      <c r="E87" s="105"/>
      <c r="F87" s="105"/>
      <c r="G87" s="105"/>
      <c r="H87" s="105"/>
      <c r="I87" s="105"/>
      <c r="J87" s="105"/>
      <c r="K87" s="105"/>
      <c r="L87" s="105"/>
      <c r="M87" s="112">
        <f>SUMIF('Наставни ансамбл'!J14:J220,"Драга Мастиловић",'Наставни ансамбл'!G14:G220)</f>
        <v>2</v>
      </c>
      <c r="N87" s="105"/>
      <c r="O87" s="112"/>
      <c r="P87" s="112"/>
      <c r="Q87" s="112"/>
      <c r="R87" s="112"/>
      <c r="S87" s="112"/>
      <c r="T87" s="112"/>
      <c r="U87" s="112"/>
      <c r="V87" s="341">
        <f>SUMIF('Наставни ансамбл'!J14:J220,"Драга Мастиловић",'Наставни ансамбл'!H14:H220)</f>
        <v>1</v>
      </c>
      <c r="W87" s="105"/>
      <c r="X87" s="84">
        <f t="shared" si="11"/>
        <v>2.6</v>
      </c>
      <c r="Y87" s="89">
        <f t="shared" si="10"/>
        <v>43.333333333333336</v>
      </c>
      <c r="Z87" s="591">
        <f>(X87+X88)/2</f>
        <v>1.3</v>
      </c>
      <c r="AA87" s="592">
        <f>Z87/10*100</f>
        <v>13</v>
      </c>
      <c r="AB87" s="556" t="s">
        <v>254</v>
      </c>
      <c r="AC87" s="556">
        <f>IF(Z87&gt;D87,Z87-D87,0)</f>
        <v>0</v>
      </c>
      <c r="AD87" s="585">
        <v>1</v>
      </c>
      <c r="AE87" s="585">
        <v>0</v>
      </c>
    </row>
    <row r="88" spans="1:31" s="1" customFormat="1" ht="15" customHeight="1" x14ac:dyDescent="0.25">
      <c r="A88" s="613"/>
      <c r="B88" s="615"/>
      <c r="C88" s="90" t="s">
        <v>238</v>
      </c>
      <c r="D88" s="131">
        <v>6</v>
      </c>
      <c r="E88" s="131"/>
      <c r="F88" s="131"/>
      <c r="G88" s="131"/>
      <c r="H88" s="131"/>
      <c r="I88" s="131"/>
      <c r="J88" s="131"/>
      <c r="K88" s="131"/>
      <c r="L88" s="131"/>
      <c r="M88" s="112">
        <f>SUMIF('Наставни ансамбл'!J378:J585,"Драга Мастиловић",'Наставни ансамбл'!G378:G585)</f>
        <v>0</v>
      </c>
      <c r="N88" s="131"/>
      <c r="O88" s="112"/>
      <c r="P88" s="112"/>
      <c r="Q88" s="112"/>
      <c r="R88" s="112"/>
      <c r="S88" s="112"/>
      <c r="T88" s="112"/>
      <c r="U88" s="112"/>
      <c r="V88" s="341">
        <f>SUMIF('Наставни ансамбл'!J378:J585,"Драга Мастиловић",'Наставни ансамбл'!H378:H585)</f>
        <v>0</v>
      </c>
      <c r="W88" s="131"/>
      <c r="X88" s="91">
        <f t="shared" si="11"/>
        <v>0</v>
      </c>
      <c r="Y88" s="132">
        <f t="shared" si="10"/>
        <v>0</v>
      </c>
      <c r="Z88" s="557"/>
      <c r="AA88" s="559"/>
      <c r="AB88" s="557"/>
      <c r="AC88" s="557"/>
      <c r="AD88" s="553"/>
      <c r="AE88" s="553"/>
    </row>
    <row r="89" spans="1:31" s="1" customFormat="1" ht="15" customHeight="1" x14ac:dyDescent="0.25">
      <c r="A89" s="613">
        <v>9</v>
      </c>
      <c r="B89" s="614" t="s">
        <v>300</v>
      </c>
      <c r="C89" s="83" t="s">
        <v>237</v>
      </c>
      <c r="D89" s="105">
        <v>6</v>
      </c>
      <c r="E89" s="105"/>
      <c r="F89" s="105"/>
      <c r="G89" s="105"/>
      <c r="H89" s="105"/>
      <c r="I89" s="105"/>
      <c r="J89" s="105"/>
      <c r="K89" s="105"/>
      <c r="L89" s="105"/>
      <c r="M89" s="112">
        <f>SUMIF('Наставни ансамбл'!J14:J220,"Стојан Шљука",'Наставни ансамбл'!G14:G220)</f>
        <v>0</v>
      </c>
      <c r="N89" s="105"/>
      <c r="O89" s="112"/>
      <c r="P89" s="112"/>
      <c r="Q89" s="112"/>
      <c r="R89" s="112"/>
      <c r="S89" s="112"/>
      <c r="T89" s="112"/>
      <c r="U89" s="112"/>
      <c r="V89" s="341">
        <f>SUMIF('Наставни ансамбл'!J14:J220,"Стојан Шљука",'Наставни ансамбл'!H14:H220)</f>
        <v>0</v>
      </c>
      <c r="W89" s="105"/>
      <c r="X89" s="84">
        <f t="shared" si="11"/>
        <v>0</v>
      </c>
      <c r="Y89" s="89">
        <f t="shared" si="10"/>
        <v>0</v>
      </c>
      <c r="Z89" s="591">
        <f>(X89+X90)/2</f>
        <v>0</v>
      </c>
      <c r="AA89" s="592">
        <f>Z89/10*100</f>
        <v>0</v>
      </c>
      <c r="AB89" s="556" t="s">
        <v>254</v>
      </c>
      <c r="AC89" s="556">
        <f>IF(Z89&gt;D89,Z89-D89,0)</f>
        <v>0</v>
      </c>
      <c r="AD89" s="585">
        <v>1</v>
      </c>
      <c r="AE89" s="585">
        <v>0</v>
      </c>
    </row>
    <row r="90" spans="1:31" s="1" customFormat="1" ht="15" customHeight="1" x14ac:dyDescent="0.25">
      <c r="A90" s="613"/>
      <c r="B90" s="615"/>
      <c r="C90" s="90" t="s">
        <v>238</v>
      </c>
      <c r="D90" s="131">
        <v>6</v>
      </c>
      <c r="E90" s="131"/>
      <c r="F90" s="131"/>
      <c r="G90" s="131"/>
      <c r="H90" s="131"/>
      <c r="I90" s="131"/>
      <c r="J90" s="131"/>
      <c r="K90" s="131"/>
      <c r="L90" s="131"/>
      <c r="M90" s="112">
        <f>SUMIF('Наставни ансамбл'!J378:J585,"Стојан Шљука",'Наставни ансамбл'!G378:G585)</f>
        <v>0</v>
      </c>
      <c r="N90" s="131"/>
      <c r="O90" s="112"/>
      <c r="P90" s="112"/>
      <c r="Q90" s="112"/>
      <c r="R90" s="112"/>
      <c r="S90" s="112"/>
      <c r="T90" s="112"/>
      <c r="U90" s="112"/>
      <c r="V90" s="341">
        <f>SUMIF('Наставни ансамбл'!J378:J585,"Стојан Шљука",'Наставни ансамбл'!H378:H585)</f>
        <v>0</v>
      </c>
      <c r="W90" s="131"/>
      <c r="X90" s="91">
        <f t="shared" si="11"/>
        <v>0</v>
      </c>
      <c r="Y90" s="132">
        <f t="shared" si="10"/>
        <v>0</v>
      </c>
      <c r="Z90" s="557"/>
      <c r="AA90" s="559"/>
      <c r="AB90" s="557"/>
      <c r="AC90" s="557"/>
      <c r="AD90" s="553"/>
      <c r="AE90" s="553"/>
    </row>
    <row r="91" spans="1:31" s="1" customFormat="1" ht="15" customHeight="1" x14ac:dyDescent="0.25">
      <c r="A91" s="613">
        <v>10</v>
      </c>
      <c r="B91" s="616" t="s">
        <v>322</v>
      </c>
      <c r="C91" s="83" t="s">
        <v>237</v>
      </c>
      <c r="D91" s="105">
        <v>6</v>
      </c>
      <c r="E91" s="105"/>
      <c r="F91" s="105"/>
      <c r="G91" s="105"/>
      <c r="H91" s="105"/>
      <c r="I91" s="105"/>
      <c r="J91" s="105"/>
      <c r="K91" s="105"/>
      <c r="L91" s="105"/>
      <c r="M91" s="112">
        <f>SUMIF('Наставни ансамбл'!J14:J220,"Бранислав Драшковић",'Наставни ансамбл'!G14:G220)</f>
        <v>0</v>
      </c>
      <c r="N91" s="105"/>
      <c r="O91" s="112"/>
      <c r="P91" s="112"/>
      <c r="Q91" s="112"/>
      <c r="R91" s="112"/>
      <c r="S91" s="112"/>
      <c r="T91" s="112"/>
      <c r="U91" s="112"/>
      <c r="V91" s="341">
        <f>SUMIF('Наставни ансамбл'!J14:J220,"Бранислав Драшковић",'Наставни ансамбл'!H14:H220)</f>
        <v>0</v>
      </c>
      <c r="W91" s="105"/>
      <c r="X91" s="84">
        <f t="shared" si="11"/>
        <v>0</v>
      </c>
      <c r="Y91" s="89">
        <f t="shared" si="10"/>
        <v>0</v>
      </c>
      <c r="Z91" s="591">
        <f>(X91+X92)/2</f>
        <v>0</v>
      </c>
      <c r="AA91" s="592">
        <f>Z91/10*100</f>
        <v>0</v>
      </c>
      <c r="AB91" s="556" t="s">
        <v>254</v>
      </c>
      <c r="AC91" s="556">
        <f>IF(Z91&gt;D91,Z91-D91,0)</f>
        <v>0</v>
      </c>
      <c r="AD91" s="585">
        <v>2</v>
      </c>
      <c r="AE91" s="585">
        <v>3</v>
      </c>
    </row>
    <row r="92" spans="1:31" s="1" customFormat="1" ht="15" customHeight="1" x14ac:dyDescent="0.25">
      <c r="A92" s="613"/>
      <c r="B92" s="618"/>
      <c r="C92" s="90" t="s">
        <v>238</v>
      </c>
      <c r="D92" s="131">
        <v>6</v>
      </c>
      <c r="E92" s="131"/>
      <c r="F92" s="131"/>
      <c r="G92" s="131"/>
      <c r="H92" s="131"/>
      <c r="I92" s="131"/>
      <c r="J92" s="131"/>
      <c r="K92" s="131"/>
      <c r="L92" s="131"/>
      <c r="M92" s="112">
        <f>SUMIF('Наставни ансамбл'!J378:J585,"Бранислав Драшковић",'Наставни ансамбл'!G378:G585)</f>
        <v>0</v>
      </c>
      <c r="N92" s="131"/>
      <c r="O92" s="112"/>
      <c r="P92" s="112"/>
      <c r="Q92" s="112"/>
      <c r="R92" s="112"/>
      <c r="S92" s="112"/>
      <c r="T92" s="112"/>
      <c r="U92" s="112"/>
      <c r="V92" s="341">
        <f>SUMIF('Наставни ансамбл'!J378:J585,"Бранислав Драшковић",'Наставни ансамбл'!H378:H585)</f>
        <v>0</v>
      </c>
      <c r="W92" s="131"/>
      <c r="X92" s="91">
        <f t="shared" si="11"/>
        <v>0</v>
      </c>
      <c r="Y92" s="132">
        <f t="shared" si="10"/>
        <v>0</v>
      </c>
      <c r="Z92" s="557"/>
      <c r="AA92" s="559"/>
      <c r="AB92" s="557"/>
      <c r="AC92" s="557"/>
      <c r="AD92" s="553"/>
      <c r="AE92" s="553"/>
    </row>
    <row r="93" spans="1:31" s="1" customFormat="1" ht="15" customHeight="1" x14ac:dyDescent="0.25">
      <c r="A93" s="613">
        <v>11</v>
      </c>
      <c r="B93" s="616" t="s">
        <v>532</v>
      </c>
      <c r="C93" s="83" t="s">
        <v>237</v>
      </c>
      <c r="D93" s="105">
        <v>10</v>
      </c>
      <c r="E93" s="105"/>
      <c r="F93" s="105"/>
      <c r="G93" s="105"/>
      <c r="H93" s="105"/>
      <c r="I93" s="105"/>
      <c r="J93" s="105"/>
      <c r="K93" s="105"/>
      <c r="L93" s="105"/>
      <c r="M93" s="112">
        <f>SUMIF('Наставни ансамбл'!J14:J220,"Живко Ерцег",'Наставни ансамбл'!G14:G220)</f>
        <v>0</v>
      </c>
      <c r="N93" s="105"/>
      <c r="O93" s="112"/>
      <c r="P93" s="112"/>
      <c r="Q93" s="112"/>
      <c r="R93" s="112"/>
      <c r="S93" s="112"/>
      <c r="T93" s="112"/>
      <c r="U93" s="112"/>
      <c r="V93" s="107">
        <f>SUMIF('Наставни ансамбл'!J14:J220,"Живко Ерцег",'Наставни ансамбл'!H14:H220)</f>
        <v>0</v>
      </c>
      <c r="W93" s="105"/>
      <c r="X93" s="137">
        <f>SUM(M93,V93)</f>
        <v>0</v>
      </c>
      <c r="Y93" s="89">
        <f t="shared" si="10"/>
        <v>0</v>
      </c>
      <c r="Z93" s="591">
        <f>(X93+X94)/2</f>
        <v>0</v>
      </c>
      <c r="AA93" s="592">
        <f>Z93/10*100</f>
        <v>0</v>
      </c>
      <c r="AB93" s="556" t="s">
        <v>254</v>
      </c>
      <c r="AC93" s="556">
        <f>IF(Z93&gt;D93,Z93-D93,0)</f>
        <v>0</v>
      </c>
      <c r="AD93" s="585">
        <v>1</v>
      </c>
      <c r="AE93" s="585">
        <v>0</v>
      </c>
    </row>
    <row r="94" spans="1:31" s="1" customFormat="1" ht="15" customHeight="1" x14ac:dyDescent="0.25">
      <c r="A94" s="613"/>
      <c r="B94" s="617"/>
      <c r="C94" s="90" t="s">
        <v>238</v>
      </c>
      <c r="D94" s="131">
        <v>10</v>
      </c>
      <c r="E94" s="131"/>
      <c r="F94" s="131"/>
      <c r="G94" s="131"/>
      <c r="H94" s="131"/>
      <c r="I94" s="131"/>
      <c r="J94" s="131"/>
      <c r="K94" s="131"/>
      <c r="L94" s="131"/>
      <c r="M94" s="112">
        <f>SUMIF('Наставни ансамбл'!J378:J585,"Живко Ерцег",'Наставни ансамбл'!G378:G585)</f>
        <v>0</v>
      </c>
      <c r="N94" s="131"/>
      <c r="O94" s="112"/>
      <c r="P94" s="112"/>
      <c r="Q94" s="112"/>
      <c r="R94" s="112"/>
      <c r="S94" s="112"/>
      <c r="T94" s="112"/>
      <c r="U94" s="112"/>
      <c r="V94" s="107">
        <f>SUMIF('Наставни ансамбл'!J378:J585,"Живко Ерцег",'Наставни ансамбл'!H378:H585)</f>
        <v>0</v>
      </c>
      <c r="W94" s="131"/>
      <c r="X94" s="138">
        <f t="shared" ref="X94:X106" si="12">SUM(M94,V94)</f>
        <v>0</v>
      </c>
      <c r="Y94" s="132">
        <f t="shared" si="10"/>
        <v>0</v>
      </c>
      <c r="Z94" s="557"/>
      <c r="AA94" s="559"/>
      <c r="AB94" s="557"/>
      <c r="AC94" s="557"/>
      <c r="AD94" s="553"/>
      <c r="AE94" s="553"/>
    </row>
    <row r="95" spans="1:31" s="1" customFormat="1" ht="15" customHeight="1" x14ac:dyDescent="0.25">
      <c r="A95" s="613">
        <v>12</v>
      </c>
      <c r="B95" s="616" t="s">
        <v>403</v>
      </c>
      <c r="C95" s="83" t="s">
        <v>237</v>
      </c>
      <c r="D95" s="105">
        <v>10</v>
      </c>
      <c r="E95" s="105"/>
      <c r="F95" s="105"/>
      <c r="G95" s="105"/>
      <c r="H95" s="105"/>
      <c r="I95" s="105"/>
      <c r="J95" s="105"/>
      <c r="K95" s="105"/>
      <c r="L95" s="105"/>
      <c r="M95" s="112">
        <f>SUMIF('Наставни ансамбл'!J14:J220,"Биљана Ковачевић",'Наставни ансамбл'!G14:G220)</f>
        <v>0</v>
      </c>
      <c r="N95" s="105"/>
      <c r="O95" s="112"/>
      <c r="P95" s="112"/>
      <c r="Q95" s="112"/>
      <c r="R95" s="112"/>
      <c r="S95" s="112"/>
      <c r="T95" s="112"/>
      <c r="U95" s="112"/>
      <c r="V95" s="107">
        <f>SUMIF('Наставни ансамбл'!J14:J220,"Биљана Ковачевић",'Наставни ансамбл'!H14:H220)</f>
        <v>0</v>
      </c>
      <c r="W95" s="105"/>
      <c r="X95" s="137">
        <f t="shared" si="12"/>
        <v>0</v>
      </c>
      <c r="Y95" s="89">
        <f t="shared" si="10"/>
        <v>0</v>
      </c>
      <c r="Z95" s="591">
        <f>(X95+X96)/2</f>
        <v>0</v>
      </c>
      <c r="AA95" s="592">
        <f>Z95/10*100</f>
        <v>0</v>
      </c>
      <c r="AB95" s="556" t="s">
        <v>254</v>
      </c>
      <c r="AC95" s="556">
        <f>IF(Z95&gt;D95,Z95-D95,0)</f>
        <v>0</v>
      </c>
      <c r="AD95" s="585">
        <v>2</v>
      </c>
      <c r="AE95" s="585">
        <v>1</v>
      </c>
    </row>
    <row r="96" spans="1:31" s="1" customFormat="1" ht="15" customHeight="1" x14ac:dyDescent="0.25">
      <c r="A96" s="613"/>
      <c r="B96" s="617"/>
      <c r="C96" s="90" t="s">
        <v>238</v>
      </c>
      <c r="D96" s="131">
        <v>10</v>
      </c>
      <c r="E96" s="131"/>
      <c r="F96" s="131"/>
      <c r="G96" s="131"/>
      <c r="H96" s="131"/>
      <c r="I96" s="131"/>
      <c r="J96" s="131"/>
      <c r="K96" s="131"/>
      <c r="L96" s="131"/>
      <c r="M96" s="112">
        <f>SUMIF('Наставни ансамбл'!J378:J585,"Биљана Ковачевић",'Наставни ансамбл'!G378:G585)</f>
        <v>0</v>
      </c>
      <c r="N96" s="131"/>
      <c r="O96" s="112"/>
      <c r="P96" s="112"/>
      <c r="Q96" s="112"/>
      <c r="R96" s="112"/>
      <c r="S96" s="112"/>
      <c r="T96" s="112"/>
      <c r="U96" s="112"/>
      <c r="V96" s="107">
        <f>SUMIF('Наставни ансамбл'!J378:J585,"Биљана Ковачевић",'Наставни ансамбл'!H378:H585)</f>
        <v>0</v>
      </c>
      <c r="W96" s="131"/>
      <c r="X96" s="138">
        <f t="shared" si="12"/>
        <v>0</v>
      </c>
      <c r="Y96" s="132">
        <f t="shared" si="10"/>
        <v>0</v>
      </c>
      <c r="Z96" s="557"/>
      <c r="AA96" s="559"/>
      <c r="AB96" s="557"/>
      <c r="AC96" s="557"/>
      <c r="AD96" s="553"/>
      <c r="AE96" s="553"/>
    </row>
    <row r="97" spans="1:31" s="1" customFormat="1" ht="15" customHeight="1" x14ac:dyDescent="0.25">
      <c r="A97" s="613">
        <v>13</v>
      </c>
      <c r="B97" s="616" t="s">
        <v>380</v>
      </c>
      <c r="C97" s="83" t="s">
        <v>237</v>
      </c>
      <c r="D97" s="105">
        <v>10</v>
      </c>
      <c r="E97" s="105"/>
      <c r="F97" s="105"/>
      <c r="G97" s="105"/>
      <c r="H97" s="105"/>
      <c r="I97" s="105"/>
      <c r="J97" s="105"/>
      <c r="K97" s="105"/>
      <c r="L97" s="105"/>
      <c r="M97" s="112">
        <f>SUMIF('Наставни ансамбл'!J14:J220,"Никола Кукрић",'Наставни ансамбл'!G14:G220)</f>
        <v>0</v>
      </c>
      <c r="N97" s="105"/>
      <c r="O97" s="112"/>
      <c r="P97" s="112"/>
      <c r="Q97" s="112"/>
      <c r="R97" s="112"/>
      <c r="S97" s="112"/>
      <c r="T97" s="112"/>
      <c r="U97" s="112"/>
      <c r="V97" s="107">
        <f>SUMIF('Наставни ансамбл'!J14:J220,"Никола Кукрић",'Наставни ансамбл'!H14:H220)</f>
        <v>2</v>
      </c>
      <c r="W97" s="105"/>
      <c r="X97" s="137">
        <f t="shared" si="12"/>
        <v>2</v>
      </c>
      <c r="Y97" s="89">
        <f t="shared" si="10"/>
        <v>20</v>
      </c>
      <c r="Z97" s="591">
        <f>(X97+X98)/2</f>
        <v>2</v>
      </c>
      <c r="AA97" s="592">
        <f>Z97/10*100</f>
        <v>20</v>
      </c>
      <c r="AB97" s="556" t="s">
        <v>254</v>
      </c>
      <c r="AC97" s="556">
        <f>IF(Z97&gt;D97,Z97-D97,0)</f>
        <v>0</v>
      </c>
      <c r="AD97" s="585">
        <v>1</v>
      </c>
      <c r="AE97" s="585">
        <v>1</v>
      </c>
    </row>
    <row r="98" spans="1:31" s="1" customFormat="1" ht="15" customHeight="1" x14ac:dyDescent="0.25">
      <c r="A98" s="613"/>
      <c r="B98" s="619"/>
      <c r="C98" s="90" t="s">
        <v>238</v>
      </c>
      <c r="D98" s="131">
        <v>10</v>
      </c>
      <c r="E98" s="131"/>
      <c r="F98" s="131"/>
      <c r="G98" s="131"/>
      <c r="H98" s="131"/>
      <c r="I98" s="131"/>
      <c r="J98" s="131"/>
      <c r="K98" s="131"/>
      <c r="L98" s="131"/>
      <c r="M98" s="112">
        <f>SUMIF('Наставни ансамбл'!J378:J585,"Никола Кукрић",'Наставни ансамбл'!G378:G585)</f>
        <v>0</v>
      </c>
      <c r="N98" s="131"/>
      <c r="O98" s="112"/>
      <c r="P98" s="112"/>
      <c r="Q98" s="112"/>
      <c r="R98" s="112"/>
      <c r="S98" s="112"/>
      <c r="T98" s="112"/>
      <c r="U98" s="112"/>
      <c r="V98" s="107">
        <f>SUMIF('Наставни ансамбл'!J378:J585,"Никола Кукрић",'Наставни ансамбл'!H378:H585)</f>
        <v>2</v>
      </c>
      <c r="W98" s="131"/>
      <c r="X98" s="138">
        <f t="shared" si="12"/>
        <v>2</v>
      </c>
      <c r="Y98" s="132">
        <f t="shared" si="10"/>
        <v>20</v>
      </c>
      <c r="Z98" s="557"/>
      <c r="AA98" s="559"/>
      <c r="AB98" s="557"/>
      <c r="AC98" s="557"/>
      <c r="AD98" s="553"/>
      <c r="AE98" s="553"/>
    </row>
    <row r="99" spans="1:31" s="1" customFormat="1" ht="15" customHeight="1" x14ac:dyDescent="0.25">
      <c r="A99" s="613">
        <v>14</v>
      </c>
      <c r="B99" s="616" t="s">
        <v>531</v>
      </c>
      <c r="C99" s="83" t="s">
        <v>237</v>
      </c>
      <c r="D99" s="105">
        <v>10</v>
      </c>
      <c r="E99" s="105"/>
      <c r="F99" s="105"/>
      <c r="G99" s="105"/>
      <c r="H99" s="105"/>
      <c r="I99" s="105"/>
      <c r="J99" s="105"/>
      <c r="K99" s="105"/>
      <c r="L99" s="105"/>
      <c r="M99" s="112">
        <f>SUMIF('Наставни ансамбл'!J14:J220,"Лана Шикуљак",'Наставни ансамбл'!G14:G220)</f>
        <v>0</v>
      </c>
      <c r="N99" s="105"/>
      <c r="O99" s="112"/>
      <c r="P99" s="112"/>
      <c r="Q99" s="112"/>
      <c r="R99" s="112"/>
      <c r="S99" s="112"/>
      <c r="T99" s="112"/>
      <c r="U99" s="112"/>
      <c r="V99" s="107">
        <f>SUMIF('Наставни ансамбл'!J14:J220,"Лана Шикуљак",'Наставни ансамбл'!H14:H220)</f>
        <v>0</v>
      </c>
      <c r="W99" s="105"/>
      <c r="X99" s="137">
        <f t="shared" si="12"/>
        <v>0</v>
      </c>
      <c r="Y99" s="89">
        <f t="shared" si="10"/>
        <v>0</v>
      </c>
      <c r="Z99" s="591">
        <f>(X99+X100)/2</f>
        <v>1</v>
      </c>
      <c r="AA99" s="592">
        <f>Z99/10*100</f>
        <v>10</v>
      </c>
      <c r="AB99" s="556" t="s">
        <v>254</v>
      </c>
      <c r="AC99" s="556">
        <f>IF(Z99&gt;D99,Z99-D99,0)</f>
        <v>0</v>
      </c>
      <c r="AD99" s="585">
        <v>2</v>
      </c>
      <c r="AE99" s="585">
        <v>2</v>
      </c>
    </row>
    <row r="100" spans="1:31" s="1" customFormat="1" ht="15" customHeight="1" x14ac:dyDescent="0.25">
      <c r="A100" s="613"/>
      <c r="B100" s="618"/>
      <c r="C100" s="90" t="s">
        <v>238</v>
      </c>
      <c r="D100" s="131">
        <v>10</v>
      </c>
      <c r="E100" s="131"/>
      <c r="F100" s="131"/>
      <c r="G100" s="131"/>
      <c r="H100" s="131"/>
      <c r="I100" s="131"/>
      <c r="J100" s="131"/>
      <c r="K100" s="131"/>
      <c r="L100" s="131"/>
      <c r="M100" s="112">
        <f>SUMIF('Наставни ансамбл'!J378:J585,"Лана Шикуљак",'Наставни ансамбл'!G378:G585)</f>
        <v>0</v>
      </c>
      <c r="N100" s="131"/>
      <c r="O100" s="112"/>
      <c r="P100" s="112"/>
      <c r="Q100" s="112"/>
      <c r="R100" s="112"/>
      <c r="S100" s="112"/>
      <c r="T100" s="112"/>
      <c r="U100" s="112"/>
      <c r="V100" s="107">
        <f>SUMIF('Наставни ансамбл'!J378:J585,"Лана Шикуљак",'Наставни ансамбл'!H378:H585)</f>
        <v>2</v>
      </c>
      <c r="W100" s="131"/>
      <c r="X100" s="138">
        <f t="shared" si="12"/>
        <v>2</v>
      </c>
      <c r="Y100" s="132">
        <f t="shared" si="10"/>
        <v>20</v>
      </c>
      <c r="Z100" s="557"/>
      <c r="AA100" s="559"/>
      <c r="AB100" s="557"/>
      <c r="AC100" s="557"/>
      <c r="AD100" s="553"/>
      <c r="AE100" s="553"/>
    </row>
    <row r="101" spans="1:31" s="1" customFormat="1" ht="15" customHeight="1" x14ac:dyDescent="0.25">
      <c r="A101" s="620">
        <v>15</v>
      </c>
      <c r="B101" s="616" t="s">
        <v>397</v>
      </c>
      <c r="C101" s="83" t="s">
        <v>237</v>
      </c>
      <c r="D101" s="105">
        <v>10</v>
      </c>
      <c r="E101" s="105"/>
      <c r="F101" s="105"/>
      <c r="G101" s="105"/>
      <c r="H101" s="105"/>
      <c r="I101" s="105"/>
      <c r="J101" s="105"/>
      <c r="K101" s="105"/>
      <c r="L101" s="105"/>
      <c r="M101" s="112">
        <f>SUMIF('Наставни ансамбл'!J14:J220,"Наташа Марић",'Наставни ансамбл'!G14:G220)</f>
        <v>0</v>
      </c>
      <c r="N101" s="105"/>
      <c r="O101" s="112"/>
      <c r="P101" s="112"/>
      <c r="Q101" s="112"/>
      <c r="R101" s="112"/>
      <c r="S101" s="112"/>
      <c r="T101" s="112"/>
      <c r="U101" s="112"/>
      <c r="V101" s="107">
        <f>SUMIF('Наставни ансамбл'!J14:J220,"Наташа Марић",'Наставни ансамбл'!H14:H220)</f>
        <v>0</v>
      </c>
      <c r="W101" s="105"/>
      <c r="X101" s="137">
        <f t="shared" si="12"/>
        <v>0</v>
      </c>
      <c r="Y101" s="89">
        <f t="shared" si="10"/>
        <v>0</v>
      </c>
      <c r="Z101" s="591">
        <f>(X101+X102)/2</f>
        <v>0</v>
      </c>
      <c r="AA101" s="592">
        <f>Z101/10*100</f>
        <v>0</v>
      </c>
      <c r="AB101" s="556" t="s">
        <v>254</v>
      </c>
      <c r="AC101" s="556">
        <f>IF(Z101&gt;D101,Z101-D101,0)</f>
        <v>0</v>
      </c>
      <c r="AD101" s="585">
        <v>0</v>
      </c>
      <c r="AE101" s="585">
        <v>2</v>
      </c>
    </row>
    <row r="102" spans="1:31" s="1" customFormat="1" ht="15" customHeight="1" x14ac:dyDescent="0.25">
      <c r="A102" s="583"/>
      <c r="B102" s="619"/>
      <c r="C102" s="90" t="s">
        <v>238</v>
      </c>
      <c r="D102" s="131">
        <v>10</v>
      </c>
      <c r="E102" s="131"/>
      <c r="F102" s="131"/>
      <c r="G102" s="131"/>
      <c r="H102" s="131"/>
      <c r="I102" s="131"/>
      <c r="J102" s="131"/>
      <c r="K102" s="131"/>
      <c r="L102" s="131"/>
      <c r="M102" s="112">
        <f>SUMIF('Наставни ансамбл'!J378:J585,"Наташа Марић",'Наставни ансамбл'!G378:G585)</f>
        <v>0</v>
      </c>
      <c r="N102" s="131"/>
      <c r="O102" s="112"/>
      <c r="P102" s="112"/>
      <c r="Q102" s="112"/>
      <c r="R102" s="112"/>
      <c r="S102" s="112"/>
      <c r="T102" s="112"/>
      <c r="U102" s="112"/>
      <c r="V102" s="107">
        <f>SUMIF('Наставни ансамбл'!J378:J585,"Наташа Марић",'Наставни ансамбл'!H378:H585)</f>
        <v>0</v>
      </c>
      <c r="W102" s="131"/>
      <c r="X102" s="138">
        <f t="shared" si="12"/>
        <v>0</v>
      </c>
      <c r="Y102" s="132">
        <f t="shared" si="10"/>
        <v>0</v>
      </c>
      <c r="Z102" s="557"/>
      <c r="AA102" s="559"/>
      <c r="AB102" s="557"/>
      <c r="AC102" s="557"/>
      <c r="AD102" s="553"/>
      <c r="AE102" s="553"/>
    </row>
    <row r="103" spans="1:31" s="1" customFormat="1" ht="15" customHeight="1" x14ac:dyDescent="0.25">
      <c r="A103" s="613">
        <v>16</v>
      </c>
      <c r="B103" s="616" t="s">
        <v>326</v>
      </c>
      <c r="C103" s="83" t="s">
        <v>237</v>
      </c>
      <c r="D103" s="105">
        <v>10</v>
      </c>
      <c r="E103" s="105"/>
      <c r="F103" s="105"/>
      <c r="G103" s="105"/>
      <c r="H103" s="105"/>
      <c r="I103" s="105"/>
      <c r="J103" s="105"/>
      <c r="K103" s="105"/>
      <c r="L103" s="105"/>
      <c r="M103" s="112">
        <f>SUMIF('Наставни ансамбл'!J14:J220,"Раде Божић",'Наставни ансамбл'!G14:G220)</f>
        <v>0</v>
      </c>
      <c r="N103" s="105"/>
      <c r="O103" s="112"/>
      <c r="P103" s="112"/>
      <c r="Q103" s="112"/>
      <c r="R103" s="112"/>
      <c r="S103" s="112"/>
      <c r="T103" s="112"/>
      <c r="U103" s="112"/>
      <c r="V103" s="107">
        <f>SUMIF('Наставни ансамбл'!J14:J220,"Раде Божић",'Наставни ансамбл'!H14:H220)</f>
        <v>0</v>
      </c>
      <c r="W103" s="105"/>
      <c r="X103" s="343">
        <f t="shared" si="12"/>
        <v>0</v>
      </c>
      <c r="Y103" s="89">
        <f t="shared" si="10"/>
        <v>0</v>
      </c>
      <c r="Z103" s="591">
        <f>(X103+X104)/2</f>
        <v>1</v>
      </c>
      <c r="AA103" s="592">
        <f>Z103/10*100</f>
        <v>10</v>
      </c>
      <c r="AB103" s="556" t="s">
        <v>254</v>
      </c>
      <c r="AC103" s="556">
        <f>IF(Z103&gt;D103,Z103-D103,0)</f>
        <v>0</v>
      </c>
      <c r="AD103" s="585">
        <v>0</v>
      </c>
      <c r="AE103" s="585">
        <v>1</v>
      </c>
    </row>
    <row r="104" spans="1:31" s="1" customFormat="1" ht="15" customHeight="1" x14ac:dyDescent="0.25">
      <c r="A104" s="613"/>
      <c r="B104" s="618"/>
      <c r="C104" s="90" t="s">
        <v>238</v>
      </c>
      <c r="D104" s="131">
        <v>10</v>
      </c>
      <c r="E104" s="131"/>
      <c r="F104" s="131"/>
      <c r="G104" s="131"/>
      <c r="H104" s="131"/>
      <c r="I104" s="131"/>
      <c r="J104" s="131"/>
      <c r="K104" s="131"/>
      <c r="L104" s="131"/>
      <c r="M104" s="112">
        <f>SUMIF('Наставни ансамбл'!J378:J585,"Раде Божић",'Наставни ансамбл'!G378:G585)</f>
        <v>0</v>
      </c>
      <c r="N104" s="131"/>
      <c r="O104" s="112"/>
      <c r="P104" s="112"/>
      <c r="Q104" s="112"/>
      <c r="R104" s="112"/>
      <c r="S104" s="112"/>
      <c r="T104" s="112"/>
      <c r="U104" s="112"/>
      <c r="V104" s="107">
        <f>SUMIF('Наставни ансамбл'!J378:J585,"Раде Божић",'Наставни ансамбл'!H378:H585)</f>
        <v>2</v>
      </c>
      <c r="W104" s="131"/>
      <c r="X104" s="138">
        <f t="shared" si="12"/>
        <v>2</v>
      </c>
      <c r="Y104" s="132">
        <f t="shared" si="10"/>
        <v>20</v>
      </c>
      <c r="Z104" s="557"/>
      <c r="AA104" s="559"/>
      <c r="AB104" s="557"/>
      <c r="AC104" s="557"/>
      <c r="AD104" s="553"/>
      <c r="AE104" s="553"/>
    </row>
    <row r="105" spans="1:31" s="1" customFormat="1" ht="15" customHeight="1" x14ac:dyDescent="0.25">
      <c r="A105" s="613">
        <v>17</v>
      </c>
      <c r="B105" s="616" t="s">
        <v>412</v>
      </c>
      <c r="C105" s="83" t="s">
        <v>237</v>
      </c>
      <c r="D105" s="105">
        <v>10</v>
      </c>
      <c r="E105" s="105"/>
      <c r="F105" s="105"/>
      <c r="G105" s="105"/>
      <c r="H105" s="105"/>
      <c r="I105" s="105"/>
      <c r="J105" s="105"/>
      <c r="K105" s="105"/>
      <c r="L105" s="105"/>
      <c r="M105" s="112">
        <f>SUMIF('Наставни ансамбл'!J14:J220,"Миломирка Обреновић",'Наставни ансамбл'!G14:G220)</f>
        <v>0</v>
      </c>
      <c r="N105" s="105"/>
      <c r="O105" s="112"/>
      <c r="P105" s="112"/>
      <c r="Q105" s="112"/>
      <c r="R105" s="112"/>
      <c r="S105" s="112"/>
      <c r="T105" s="112"/>
      <c r="U105" s="112"/>
      <c r="V105" s="107">
        <f>SUMIF('Наставни ансамбл'!J14:J220,"Миломирка Обреновић",'Наставни ансамбл'!H14:H220)</f>
        <v>2</v>
      </c>
      <c r="W105" s="105"/>
      <c r="X105" s="137">
        <f t="shared" si="12"/>
        <v>2</v>
      </c>
      <c r="Y105" s="89">
        <f t="shared" si="10"/>
        <v>20</v>
      </c>
      <c r="Z105" s="591">
        <f>(X105+X106)/2</f>
        <v>2</v>
      </c>
      <c r="AA105" s="592">
        <f>Z105/10*100</f>
        <v>20</v>
      </c>
      <c r="AB105" s="556" t="s">
        <v>254</v>
      </c>
      <c r="AC105" s="556">
        <f>IF(Z105&gt;D105,Z105-D105,0)</f>
        <v>0</v>
      </c>
      <c r="AD105" s="585">
        <v>0</v>
      </c>
      <c r="AE105" s="585">
        <v>1</v>
      </c>
    </row>
    <row r="106" spans="1:31" s="1" customFormat="1" ht="15" customHeight="1" x14ac:dyDescent="0.25">
      <c r="A106" s="613"/>
      <c r="B106" s="618"/>
      <c r="C106" s="90" t="s">
        <v>238</v>
      </c>
      <c r="D106" s="131">
        <v>10</v>
      </c>
      <c r="E106" s="131"/>
      <c r="F106" s="131"/>
      <c r="G106" s="131"/>
      <c r="H106" s="131"/>
      <c r="I106" s="131"/>
      <c r="J106" s="131"/>
      <c r="K106" s="131"/>
      <c r="L106" s="131"/>
      <c r="M106" s="112">
        <f>SUMIF('Наставни ансамбл'!J378:J585,"Миломирка Обреновић",'Наставни ансамбл'!G378:G585)</f>
        <v>0</v>
      </c>
      <c r="N106" s="131"/>
      <c r="O106" s="112"/>
      <c r="P106" s="112"/>
      <c r="Q106" s="112"/>
      <c r="R106" s="112"/>
      <c r="S106" s="112"/>
      <c r="T106" s="112"/>
      <c r="U106" s="112"/>
      <c r="V106" s="107">
        <f>SUMIF('Наставни ансамбл'!J378:J585,"Миломирка Обреновић",'Наставни ансамбл'!H378:H585)</f>
        <v>2</v>
      </c>
      <c r="W106" s="131"/>
      <c r="X106" s="138">
        <f t="shared" si="12"/>
        <v>2</v>
      </c>
      <c r="Y106" s="132">
        <f t="shared" si="10"/>
        <v>20</v>
      </c>
      <c r="Z106" s="557"/>
      <c r="AA106" s="559"/>
      <c r="AB106" s="557"/>
      <c r="AC106" s="557"/>
      <c r="AD106" s="553"/>
      <c r="AE106" s="553"/>
    </row>
    <row r="107" spans="1:31" s="1" customFormat="1" ht="15" customHeight="1" x14ac:dyDescent="0.25">
      <c r="A107" s="114"/>
      <c r="B107" s="605" t="s">
        <v>251</v>
      </c>
      <c r="C107" s="606" t="s">
        <v>237</v>
      </c>
      <c r="D107" s="606"/>
      <c r="E107" s="260"/>
      <c r="F107" s="260"/>
      <c r="G107" s="260"/>
      <c r="H107" s="260"/>
      <c r="I107" s="260"/>
      <c r="J107" s="260"/>
      <c r="K107" s="260"/>
      <c r="L107" s="260"/>
      <c r="M107" s="260"/>
      <c r="N107" s="257">
        <f>M73+M75+M77+M79+M81+M83+M87+M89+M91+M97+M99+M105</f>
        <v>10</v>
      </c>
      <c r="O107" s="257"/>
      <c r="P107" s="257"/>
      <c r="Q107" s="257"/>
      <c r="R107" s="257"/>
      <c r="S107" s="257"/>
      <c r="T107" s="257"/>
      <c r="U107" s="257"/>
      <c r="V107" s="257"/>
      <c r="W107" s="257">
        <f>W73+W75+W77+W79+W81+W83+W85+W87+W89+W91+W97+W99+W105</f>
        <v>0</v>
      </c>
      <c r="X107" s="115"/>
      <c r="Y107" s="103"/>
      <c r="Z107" s="110"/>
      <c r="AA107" s="104"/>
      <c r="AB107" s="110"/>
      <c r="AC107" s="110"/>
      <c r="AD107" s="100"/>
      <c r="AE107" s="100"/>
    </row>
    <row r="108" spans="1:31" s="1" customFormat="1" ht="15" customHeight="1" x14ac:dyDescent="0.25">
      <c r="A108" s="116"/>
      <c r="B108" s="605"/>
      <c r="C108" s="608" t="s">
        <v>238</v>
      </c>
      <c r="D108" s="608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>
        <f>M74+M76+M78+M80+M82+M84+M86+M88+M90+M92+M98+M100+M106</f>
        <v>10</v>
      </c>
      <c r="O108" s="257"/>
      <c r="P108" s="257"/>
      <c r="Q108" s="257"/>
      <c r="R108" s="257"/>
      <c r="S108" s="257"/>
      <c r="T108" s="257"/>
      <c r="U108" s="257"/>
      <c r="V108" s="257"/>
      <c r="W108" s="257">
        <f>W74+W76+W78+W80+W82+W84+W86+W88+W90+W92+W98+W100+W106</f>
        <v>0</v>
      </c>
      <c r="X108" s="117"/>
      <c r="Y108" s="103"/>
      <c r="Z108" s="110"/>
      <c r="AA108" s="104"/>
      <c r="AB108" s="110"/>
      <c r="AC108" s="110"/>
      <c r="AD108" s="100"/>
      <c r="AE108" s="100"/>
    </row>
    <row r="109" spans="1:31" s="1" customFormat="1" x14ac:dyDescent="0.25">
      <c r="A109" s="100"/>
      <c r="B109" s="102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103"/>
      <c r="Z109" s="100"/>
      <c r="AA109" s="104"/>
      <c r="AB109" s="104"/>
      <c r="AC109" s="104"/>
      <c r="AD109" s="100"/>
      <c r="AE109" s="100"/>
    </row>
    <row r="110" spans="1:31" s="1" customFormat="1" x14ac:dyDescent="0.25">
      <c r="A110" s="76" t="s">
        <v>255</v>
      </c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X110" s="77"/>
      <c r="Y110" s="77"/>
      <c r="AD110" s="100"/>
      <c r="AE110" s="100"/>
    </row>
    <row r="111" spans="1:31" s="1" customFormat="1" x14ac:dyDescent="0.25"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X111" s="77"/>
      <c r="Y111" s="77"/>
      <c r="AD111" s="100"/>
      <c r="AE111" s="100"/>
    </row>
    <row r="112" spans="1:31" s="1" customFormat="1" x14ac:dyDescent="0.25">
      <c r="A112" s="570" t="s">
        <v>213</v>
      </c>
      <c r="B112" s="570" t="s">
        <v>214</v>
      </c>
      <c r="C112" s="571" t="s">
        <v>215</v>
      </c>
      <c r="D112" s="573" t="s">
        <v>216</v>
      </c>
      <c r="E112" s="258"/>
      <c r="F112" s="258"/>
      <c r="G112" s="258"/>
      <c r="H112" s="258"/>
      <c r="I112" s="258"/>
      <c r="J112" s="258"/>
      <c r="K112" s="258"/>
      <c r="L112" s="258"/>
      <c r="M112" s="258"/>
      <c r="N112" s="548"/>
      <c r="O112" s="255"/>
      <c r="P112" s="255"/>
      <c r="Q112" s="255"/>
      <c r="R112" s="255"/>
      <c r="S112" s="255"/>
      <c r="T112" s="255"/>
      <c r="U112" s="255"/>
      <c r="V112" s="255"/>
      <c r="W112" s="548"/>
      <c r="X112" s="564"/>
      <c r="Y112" s="566"/>
      <c r="Z112" s="564"/>
      <c r="AA112" s="548"/>
      <c r="AB112" s="548" t="s">
        <v>225</v>
      </c>
      <c r="AC112" s="548" t="s">
        <v>226</v>
      </c>
      <c r="AD112" s="550"/>
      <c r="AE112" s="551"/>
    </row>
    <row r="113" spans="1:31" s="1" customFormat="1" x14ac:dyDescent="0.25">
      <c r="A113" s="570"/>
      <c r="B113" s="570"/>
      <c r="C113" s="572"/>
      <c r="D113" s="573"/>
      <c r="E113" s="259"/>
      <c r="F113" s="259"/>
      <c r="G113" s="259"/>
      <c r="H113" s="259"/>
      <c r="I113" s="259"/>
      <c r="J113" s="259"/>
      <c r="K113" s="259"/>
      <c r="L113" s="259"/>
      <c r="M113" s="259"/>
      <c r="N113" s="549"/>
      <c r="O113" s="256"/>
      <c r="P113" s="256"/>
      <c r="Q113" s="256"/>
      <c r="R113" s="256"/>
      <c r="S113" s="256"/>
      <c r="T113" s="256"/>
      <c r="U113" s="256"/>
      <c r="V113" s="256"/>
      <c r="W113" s="549"/>
      <c r="X113" s="565"/>
      <c r="Y113" s="567"/>
      <c r="Z113" s="565"/>
      <c r="AA113" s="549"/>
      <c r="AB113" s="549"/>
      <c r="AC113" s="549"/>
      <c r="AD113" s="78"/>
      <c r="AE113" s="78"/>
    </row>
    <row r="114" spans="1:31" s="1" customFormat="1" x14ac:dyDescent="0.25"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X114" s="77"/>
      <c r="Y114" s="77"/>
      <c r="AD114" s="100"/>
      <c r="AE114" s="100"/>
    </row>
    <row r="115" spans="1:31" s="1" customFormat="1" x14ac:dyDescent="0.25">
      <c r="A115" s="620">
        <v>1</v>
      </c>
      <c r="B115" s="621" t="s">
        <v>265</v>
      </c>
      <c r="C115" s="83" t="s">
        <v>237</v>
      </c>
      <c r="D115" s="84">
        <v>3</v>
      </c>
      <c r="E115" s="130"/>
      <c r="F115" s="130"/>
      <c r="G115" s="130"/>
      <c r="H115" s="130"/>
      <c r="I115" s="130"/>
      <c r="J115" s="130"/>
      <c r="K115" s="130"/>
      <c r="L115" s="130"/>
      <c r="M115" s="86">
        <f>SUMIF('Наставни ансамбл'!J14:J220,"Наташа Цвијановић",'Наставни ансамбл'!G14:G220)</f>
        <v>0</v>
      </c>
      <c r="N115" s="130"/>
      <c r="O115" s="86"/>
      <c r="P115" s="86"/>
      <c r="Q115" s="86"/>
      <c r="R115" s="86"/>
      <c r="S115" s="86"/>
      <c r="T115" s="86"/>
      <c r="U115" s="86"/>
      <c r="V115" s="88">
        <f>SUMIF('Наставни ансамбл'!J14:J220,"Наташа Цвијановић",'Наставни ансамбл'!H14:H220)</f>
        <v>0</v>
      </c>
      <c r="W115" s="130"/>
      <c r="X115" s="130">
        <f>I115+J115+M115+V115</f>
        <v>0</v>
      </c>
      <c r="Y115" s="113">
        <f t="shared" ref="Y115" si="13">X115/D115*100</f>
        <v>0</v>
      </c>
      <c r="Z115" s="556">
        <f>(X115+X116)/2</f>
        <v>1.9</v>
      </c>
      <c r="AA115" s="558">
        <f>Z115/D115*100</f>
        <v>63.333333333333329</v>
      </c>
      <c r="AB115" s="556" t="s">
        <v>254</v>
      </c>
      <c r="AC115" s="556">
        <f>IF(Z115&gt;D115,Z115-D115,0)</f>
        <v>0</v>
      </c>
      <c r="AD115" s="560">
        <v>0</v>
      </c>
      <c r="AE115" s="552">
        <v>1</v>
      </c>
    </row>
    <row r="116" spans="1:31" s="1" customFormat="1" x14ac:dyDescent="0.25">
      <c r="A116" s="583"/>
      <c r="B116" s="584"/>
      <c r="C116" s="90" t="s">
        <v>238</v>
      </c>
      <c r="D116" s="91">
        <v>3</v>
      </c>
      <c r="E116" s="111"/>
      <c r="F116" s="111"/>
      <c r="G116" s="111"/>
      <c r="H116" s="111"/>
      <c r="I116" s="111"/>
      <c r="J116" s="111"/>
      <c r="K116" s="111"/>
      <c r="L116" s="111"/>
      <c r="M116" s="86">
        <f>SUMIF('Наставни ансамбл'!J378:J585,"Наташа Цвијановић",'Наставни ансамбл'!G378:G585)</f>
        <v>2</v>
      </c>
      <c r="N116" s="111"/>
      <c r="O116" s="112"/>
      <c r="P116" s="112"/>
      <c r="Q116" s="112"/>
      <c r="R116" s="112"/>
      <c r="S116" s="112"/>
      <c r="T116" s="112"/>
      <c r="U116" s="112"/>
      <c r="V116" s="107">
        <f>SUMIF('Наставни ансамбл'!J378:J585,"Наташа Цвијановић",'Наставни ансамбл'!H378:H585)</f>
        <v>3</v>
      </c>
      <c r="W116" s="111"/>
      <c r="X116" s="91">
        <f>M116+(V116*0.6)</f>
        <v>3.8</v>
      </c>
      <c r="Y116" s="93">
        <f>X116/D116*100</f>
        <v>126.66666666666666</v>
      </c>
      <c r="Z116" s="557"/>
      <c r="AA116" s="559"/>
      <c r="AB116" s="583"/>
      <c r="AC116" s="583"/>
      <c r="AD116" s="553"/>
      <c r="AE116" s="583"/>
    </row>
    <row r="117" spans="1:31" s="1" customFormat="1" x14ac:dyDescent="0.25">
      <c r="A117" s="585">
        <v>2</v>
      </c>
      <c r="B117" s="611" t="s">
        <v>401</v>
      </c>
      <c r="C117" s="83" t="s">
        <v>237</v>
      </c>
      <c r="D117" s="84">
        <v>3</v>
      </c>
      <c r="E117" s="105"/>
      <c r="F117" s="105"/>
      <c r="G117" s="105"/>
      <c r="H117" s="105"/>
      <c r="I117" s="204">
        <v>2.6</v>
      </c>
      <c r="J117" s="204">
        <v>4</v>
      </c>
      <c r="K117" s="105"/>
      <c r="L117" s="105"/>
      <c r="M117" s="86">
        <f>SUMIF('Наставни ансамбл'!J14:J220,"Александар Ђурић",'Наставни ансамбл'!G14:G220)</f>
        <v>2</v>
      </c>
      <c r="N117" s="105"/>
      <c r="O117" s="112"/>
      <c r="P117" s="112"/>
      <c r="Q117" s="112"/>
      <c r="R117" s="112"/>
      <c r="S117" s="112"/>
      <c r="T117" s="112"/>
      <c r="U117" s="112"/>
      <c r="V117" s="107">
        <f>SUMIF('Наставни ансамбл'!J14:J220,"Александар Ђурић",'Наставни ансамбл'!H14:H220)</f>
        <v>2</v>
      </c>
      <c r="W117" s="105"/>
      <c r="X117" s="84">
        <f>I117+J117+M117+V117</f>
        <v>10.6</v>
      </c>
      <c r="Y117" s="89">
        <f t="shared" ref="Y117:Y124" si="14">X117/D117*100</f>
        <v>353.33333333333331</v>
      </c>
      <c r="Z117" s="591">
        <f>(X117+X118)/2</f>
        <v>10.3</v>
      </c>
      <c r="AA117" s="592">
        <f>Z117/10*100</f>
        <v>103</v>
      </c>
      <c r="AB117" s="556" t="s">
        <v>254</v>
      </c>
      <c r="AC117" s="556">
        <f>IF(Z117&gt;D117,Z117-D117,0)</f>
        <v>7.3000000000000007</v>
      </c>
      <c r="AD117" s="560">
        <v>4</v>
      </c>
      <c r="AE117" s="585">
        <v>3</v>
      </c>
    </row>
    <row r="118" spans="1:31" s="1" customFormat="1" ht="15" customHeight="1" x14ac:dyDescent="0.25">
      <c r="A118" s="553"/>
      <c r="B118" s="581"/>
      <c r="C118" s="90" t="s">
        <v>238</v>
      </c>
      <c r="D118" s="91">
        <v>3</v>
      </c>
      <c r="E118" s="131"/>
      <c r="F118" s="131"/>
      <c r="G118" s="131"/>
      <c r="H118" s="131"/>
      <c r="I118" s="177"/>
      <c r="J118" s="177"/>
      <c r="K118" s="131"/>
      <c r="L118" s="131"/>
      <c r="M118" s="86">
        <f>SUMIF('Наставни ансамбл'!J378:J585,"Александар Ђурић",'Наставни ансамбл'!G378:G585)</f>
        <v>6</v>
      </c>
      <c r="N118" s="131"/>
      <c r="O118" s="86"/>
      <c r="P118" s="86"/>
      <c r="Q118" s="86"/>
      <c r="R118" s="86"/>
      <c r="S118" s="86"/>
      <c r="T118" s="86"/>
      <c r="U118" s="86"/>
      <c r="V118" s="88">
        <f>SUMIF('Наставни ансамбл'!J378:J585,"Александар Ђурић",'Наставни ансамбл'!H378:H585)</f>
        <v>4</v>
      </c>
      <c r="W118" s="131"/>
      <c r="X118" s="129">
        <f>I118+J118+M118+V118</f>
        <v>10</v>
      </c>
      <c r="Y118" s="132">
        <f t="shared" si="14"/>
        <v>333.33333333333337</v>
      </c>
      <c r="Z118" s="557"/>
      <c r="AA118" s="559"/>
      <c r="AB118" s="557"/>
      <c r="AC118" s="557"/>
      <c r="AD118" s="553"/>
      <c r="AE118" s="553"/>
    </row>
    <row r="119" spans="1:31" s="1" customFormat="1" x14ac:dyDescent="0.25">
      <c r="A119" s="552">
        <v>3</v>
      </c>
      <c r="B119" s="622" t="s">
        <v>198</v>
      </c>
      <c r="C119" s="83" t="s">
        <v>237</v>
      </c>
      <c r="D119" s="84">
        <v>3</v>
      </c>
      <c r="E119" s="84"/>
      <c r="F119" s="84"/>
      <c r="G119" s="84"/>
      <c r="H119" s="84"/>
      <c r="I119" s="84"/>
      <c r="J119" s="84"/>
      <c r="K119" s="84"/>
      <c r="L119" s="84"/>
      <c r="M119" s="86">
        <f>SUMIF('Наставни ансамбл'!J14:J220,"Александар Дошић",'Наставни ансамбл'!G14:G220)</f>
        <v>2</v>
      </c>
      <c r="N119" s="84"/>
      <c r="O119" s="86"/>
      <c r="P119" s="86"/>
      <c r="Q119" s="86"/>
      <c r="R119" s="86"/>
      <c r="S119" s="86"/>
      <c r="T119" s="86"/>
      <c r="U119" s="86"/>
      <c r="V119" s="88">
        <f>SUMIF('Наставни ансамбл'!J14:J220,"Александар Дошић",'Наставни ансамбл'!H14:H220)</f>
        <v>0</v>
      </c>
      <c r="W119" s="84"/>
      <c r="X119" s="84">
        <f t="shared" ref="X119:X124" si="15">M119+(V119*0.6)</f>
        <v>2</v>
      </c>
      <c r="Y119" s="89">
        <f t="shared" si="14"/>
        <v>66.666666666666657</v>
      </c>
      <c r="Z119" s="556">
        <f>(X119+X120)/2</f>
        <v>2</v>
      </c>
      <c r="AA119" s="558">
        <f>Z119/10*100</f>
        <v>20</v>
      </c>
      <c r="AB119" s="556" t="s">
        <v>254</v>
      </c>
      <c r="AC119" s="556">
        <f>IF(Z119&gt;D119,Z119-D119,0)</f>
        <v>0</v>
      </c>
      <c r="AD119" s="552">
        <v>1</v>
      </c>
      <c r="AE119" s="552">
        <v>1</v>
      </c>
    </row>
    <row r="120" spans="1:31" s="1" customFormat="1" ht="15" customHeight="1" x14ac:dyDescent="0.25">
      <c r="A120" s="553"/>
      <c r="B120" s="623"/>
      <c r="C120" s="90" t="s">
        <v>238</v>
      </c>
      <c r="D120" s="140">
        <v>3</v>
      </c>
      <c r="E120" s="140"/>
      <c r="F120" s="140"/>
      <c r="G120" s="140"/>
      <c r="H120" s="140"/>
      <c r="I120" s="140"/>
      <c r="J120" s="140"/>
      <c r="K120" s="140"/>
      <c r="L120" s="140"/>
      <c r="M120" s="86">
        <f>SUMIF('Наставни ансамбл'!J378:J585,"Александар Дошић",'Наставни ансамбл'!G378:G585)</f>
        <v>2</v>
      </c>
      <c r="N120" s="140"/>
      <c r="O120" s="86"/>
      <c r="P120" s="86"/>
      <c r="Q120" s="86"/>
      <c r="R120" s="86"/>
      <c r="S120" s="86"/>
      <c r="T120" s="86"/>
      <c r="U120" s="86"/>
      <c r="V120" s="88">
        <f>SUMIF('Наставни ансамбл'!J378:J585,"Александар Дошић",'Наставни ансамбл'!H378:H585)</f>
        <v>0</v>
      </c>
      <c r="W120" s="140"/>
      <c r="X120" s="129">
        <f t="shared" si="15"/>
        <v>2</v>
      </c>
      <c r="Y120" s="200">
        <f t="shared" si="14"/>
        <v>66.666666666666657</v>
      </c>
      <c r="Z120" s="557"/>
      <c r="AA120" s="559"/>
      <c r="AB120" s="557"/>
      <c r="AC120" s="557"/>
      <c r="AD120" s="553"/>
      <c r="AE120" s="553"/>
    </row>
    <row r="121" spans="1:31" s="1" customFormat="1" x14ac:dyDescent="0.25">
      <c r="A121" s="585">
        <v>4</v>
      </c>
      <c r="B121" s="611" t="s">
        <v>298</v>
      </c>
      <c r="C121" s="83" t="s">
        <v>237</v>
      </c>
      <c r="D121" s="84">
        <v>3</v>
      </c>
      <c r="E121" s="105"/>
      <c r="F121" s="105"/>
      <c r="G121" s="105"/>
      <c r="H121" s="105"/>
      <c r="I121" s="105"/>
      <c r="J121" s="105"/>
      <c r="K121" s="105"/>
      <c r="L121" s="105"/>
      <c r="M121" s="86">
        <f>SUMIF('Наставни ансамбл'!J14:J220,"Далиборка Јанковић",'Наставни ансамбл'!G14:G220)</f>
        <v>0</v>
      </c>
      <c r="N121" s="105"/>
      <c r="O121" s="112"/>
      <c r="P121" s="112"/>
      <c r="Q121" s="112"/>
      <c r="R121" s="112"/>
      <c r="S121" s="112"/>
      <c r="T121" s="112"/>
      <c r="U121" s="112"/>
      <c r="V121" s="107">
        <f>SUMIF('Наставни ансамбл'!J14:J220,"Далиборка Јанковић",'Наставни ансамбл'!H14:H220)</f>
        <v>0</v>
      </c>
      <c r="W121" s="105"/>
      <c r="X121" s="84">
        <f t="shared" si="15"/>
        <v>0</v>
      </c>
      <c r="Y121" s="89">
        <f t="shared" si="14"/>
        <v>0</v>
      </c>
      <c r="Z121" s="591">
        <f>(X121+X122)/2</f>
        <v>0</v>
      </c>
      <c r="AA121" s="592">
        <f>Z121/10*100</f>
        <v>0</v>
      </c>
      <c r="AB121" s="556" t="s">
        <v>254</v>
      </c>
      <c r="AC121" s="556">
        <f>IF(Z121&gt;D121,Z121-D121,0)</f>
        <v>0</v>
      </c>
      <c r="AD121" s="560">
        <v>2</v>
      </c>
      <c r="AE121" s="585">
        <v>2</v>
      </c>
    </row>
    <row r="122" spans="1:31" s="1" customFormat="1" ht="15" customHeight="1" x14ac:dyDescent="0.25">
      <c r="A122" s="553"/>
      <c r="B122" s="581"/>
      <c r="C122" s="90" t="s">
        <v>238</v>
      </c>
      <c r="D122" s="91">
        <v>3</v>
      </c>
      <c r="E122" s="131"/>
      <c r="F122" s="131"/>
      <c r="G122" s="131"/>
      <c r="H122" s="131"/>
      <c r="I122" s="131"/>
      <c r="J122" s="131"/>
      <c r="K122" s="131"/>
      <c r="L122" s="131"/>
      <c r="M122" s="86">
        <f>SUMIF('Наставни ансамбл'!J378:J585,"Далиборка Јанковић",'Наставни ансамбл'!G378:G585)</f>
        <v>0</v>
      </c>
      <c r="N122" s="131"/>
      <c r="O122" s="86"/>
      <c r="P122" s="86"/>
      <c r="Q122" s="86"/>
      <c r="R122" s="86"/>
      <c r="S122" s="86"/>
      <c r="T122" s="86"/>
      <c r="U122" s="86"/>
      <c r="V122" s="88">
        <f>SUMIF('Наставни ансамбл'!J378:J585,"Далиборка Јанковић",'Наставни ансамбл'!H378:H585)</f>
        <v>0</v>
      </c>
      <c r="W122" s="131"/>
      <c r="X122" s="129">
        <f t="shared" si="15"/>
        <v>0</v>
      </c>
      <c r="Y122" s="132">
        <f t="shared" si="14"/>
        <v>0</v>
      </c>
      <c r="Z122" s="557"/>
      <c r="AA122" s="559"/>
      <c r="AB122" s="557"/>
      <c r="AC122" s="557"/>
      <c r="AD122" s="553"/>
      <c r="AE122" s="553"/>
    </row>
    <row r="123" spans="1:31" s="1" customFormat="1" x14ac:dyDescent="0.25">
      <c r="A123" s="552">
        <v>5</v>
      </c>
      <c r="B123" s="554" t="s">
        <v>393</v>
      </c>
      <c r="C123" s="141" t="s">
        <v>237</v>
      </c>
      <c r="D123" s="130">
        <v>5</v>
      </c>
      <c r="E123" s="142"/>
      <c r="F123" s="142"/>
      <c r="G123" s="142"/>
      <c r="H123" s="142"/>
      <c r="I123" s="142"/>
      <c r="J123" s="142"/>
      <c r="K123" s="142"/>
      <c r="L123" s="142"/>
      <c r="M123" s="86">
        <f>SUMIF('Наставни ансамбл'!J14:J220,"Јелена Тракиловић",'Наставни ансамбл'!G14:G220)</f>
        <v>10</v>
      </c>
      <c r="N123" s="142"/>
      <c r="O123" s="112"/>
      <c r="P123" s="112"/>
      <c r="Q123" s="112"/>
      <c r="R123" s="112"/>
      <c r="S123" s="112"/>
      <c r="T123" s="112"/>
      <c r="U123" s="112"/>
      <c r="V123" s="107">
        <f>SUMIF('Наставни ансамбл'!J14:J220,"Јелена Тракиловић",'Наставни ансамбл'!H14:H220)</f>
        <v>14</v>
      </c>
      <c r="W123" s="142"/>
      <c r="X123" s="84">
        <f t="shared" si="15"/>
        <v>18.399999999999999</v>
      </c>
      <c r="Y123" s="89">
        <f t="shared" si="14"/>
        <v>368</v>
      </c>
      <c r="Z123" s="556">
        <f>(X123+X124)/2</f>
        <v>11.6</v>
      </c>
      <c r="AA123" s="558">
        <f>Z123/D123*100</f>
        <v>231.99999999999997</v>
      </c>
      <c r="AB123" s="252"/>
      <c r="AC123" s="252"/>
      <c r="AD123" s="560">
        <v>2</v>
      </c>
      <c r="AE123" s="552">
        <v>0</v>
      </c>
    </row>
    <row r="124" spans="1:31" s="1" customFormat="1" x14ac:dyDescent="0.25">
      <c r="A124" s="583"/>
      <c r="B124" s="584"/>
      <c r="C124" s="90" t="s">
        <v>238</v>
      </c>
      <c r="D124" s="91">
        <v>5</v>
      </c>
      <c r="E124" s="111"/>
      <c r="F124" s="111"/>
      <c r="G124" s="111"/>
      <c r="H124" s="111"/>
      <c r="I124" s="111"/>
      <c r="J124" s="111"/>
      <c r="K124" s="111"/>
      <c r="L124" s="111"/>
      <c r="M124" s="86">
        <f>SUMIF('Наставни ансамбл'!J378:J585,"Јелена Тракиловић",'Наставни ансамбл'!G378:G585)</f>
        <v>3</v>
      </c>
      <c r="N124" s="111"/>
      <c r="O124" s="112"/>
      <c r="P124" s="112"/>
      <c r="Q124" s="112"/>
      <c r="R124" s="112"/>
      <c r="S124" s="112"/>
      <c r="T124" s="112"/>
      <c r="U124" s="112"/>
      <c r="V124" s="107">
        <f>SUMIF('Наставни ансамбл'!J378:J585,"Јелена Тракиловић",'Наставни ансамбл'!H378:H585)</f>
        <v>3</v>
      </c>
      <c r="W124" s="111"/>
      <c r="X124" s="129">
        <f t="shared" si="15"/>
        <v>4.8</v>
      </c>
      <c r="Y124" s="132">
        <f t="shared" si="14"/>
        <v>96</v>
      </c>
      <c r="Z124" s="557"/>
      <c r="AA124" s="559"/>
      <c r="AB124" s="253"/>
      <c r="AC124" s="253"/>
      <c r="AD124" s="553"/>
      <c r="AE124" s="583"/>
    </row>
    <row r="125" spans="1:31" s="1" customFormat="1" ht="15" customHeight="1" x14ac:dyDescent="0.25">
      <c r="A125" s="261"/>
      <c r="B125" s="605" t="s">
        <v>251</v>
      </c>
      <c r="C125" s="606" t="s">
        <v>237</v>
      </c>
      <c r="D125" s="606"/>
      <c r="E125" s="260"/>
      <c r="F125" s="260"/>
      <c r="G125" s="260"/>
      <c r="H125" s="260"/>
      <c r="I125" s="260"/>
      <c r="J125" s="260"/>
      <c r="K125" s="260"/>
      <c r="L125" s="260"/>
      <c r="M125" s="260">
        <f>SUM(M115,M117,M119,M121,M123)</f>
        <v>14</v>
      </c>
      <c r="N125" s="257"/>
      <c r="O125" s="257"/>
      <c r="P125" s="257"/>
      <c r="Q125" s="257"/>
      <c r="R125" s="257"/>
      <c r="S125" s="257"/>
      <c r="T125" s="257"/>
      <c r="U125" s="257"/>
      <c r="V125" s="257">
        <f>SUM(V115,V117,V119,V121,V123)</f>
        <v>16</v>
      </c>
      <c r="W125" s="257"/>
      <c r="X125" s="257">
        <f>SUM(X115,X117,X119,X121,X123)</f>
        <v>31</v>
      </c>
      <c r="Y125" s="93"/>
      <c r="Z125" s="607">
        <f>SUM(Z115:Z124)</f>
        <v>25.8</v>
      </c>
      <c r="AA125" s="104"/>
      <c r="AB125" s="110"/>
      <c r="AC125" s="110"/>
      <c r="AD125" s="100"/>
      <c r="AE125" s="100"/>
    </row>
    <row r="126" spans="1:31" s="1" customFormat="1" x14ac:dyDescent="0.25">
      <c r="A126" s="261"/>
      <c r="B126" s="605"/>
      <c r="C126" s="608" t="s">
        <v>238</v>
      </c>
      <c r="D126" s="608"/>
      <c r="E126" s="257"/>
      <c r="F126" s="257"/>
      <c r="G126" s="257"/>
      <c r="H126" s="257"/>
      <c r="I126" s="257"/>
      <c r="J126" s="257"/>
      <c r="K126" s="257"/>
      <c r="L126" s="257"/>
      <c r="M126" s="257">
        <f>SUM(M116,M118,M120,M122,M124)</f>
        <v>13</v>
      </c>
      <c r="N126" s="257"/>
      <c r="O126" s="257"/>
      <c r="P126" s="257"/>
      <c r="Q126" s="257"/>
      <c r="R126" s="257"/>
      <c r="S126" s="257"/>
      <c r="T126" s="257"/>
      <c r="U126" s="257"/>
      <c r="V126" s="257">
        <f>SUM(V116,V118,V120,V122,V124)</f>
        <v>10</v>
      </c>
      <c r="W126" s="257"/>
      <c r="X126" s="257">
        <f>SUM(X116,X118,X120,X122,X124)</f>
        <v>20.6</v>
      </c>
      <c r="Y126" s="93"/>
      <c r="Z126" s="607"/>
      <c r="AA126" s="104"/>
      <c r="AB126" s="104"/>
      <c r="AC126" s="104"/>
      <c r="AD126" s="100"/>
      <c r="AE126" s="100"/>
    </row>
    <row r="127" spans="1:31" s="1" customFormat="1" ht="8.25" customHeight="1" x14ac:dyDescent="0.25">
      <c r="A127" s="100"/>
      <c r="B127" s="98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77"/>
      <c r="Y127" s="103"/>
      <c r="Z127" s="100"/>
      <c r="AA127" s="104"/>
      <c r="AB127" s="104"/>
      <c r="AC127" s="104"/>
      <c r="AD127" s="100"/>
      <c r="AE127" s="100"/>
    </row>
    <row r="128" spans="1:31" s="1" customFormat="1" x14ac:dyDescent="0.25">
      <c r="A128" s="76" t="s">
        <v>256</v>
      </c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X128" s="77"/>
      <c r="Y128" s="77"/>
      <c r="AD128" s="100"/>
      <c r="AE128" s="100"/>
    </row>
    <row r="129" spans="1:31" s="1" customFormat="1" ht="14.25" customHeight="1" x14ac:dyDescent="0.25"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X129" s="77"/>
      <c r="Y129" s="77"/>
      <c r="AD129" s="100"/>
      <c r="AE129" s="100"/>
    </row>
    <row r="130" spans="1:31" s="1" customFormat="1" x14ac:dyDescent="0.25">
      <c r="A130" s="570" t="s">
        <v>213</v>
      </c>
      <c r="B130" s="570" t="s">
        <v>214</v>
      </c>
      <c r="C130" s="571" t="s">
        <v>215</v>
      </c>
      <c r="D130" s="573" t="s">
        <v>216</v>
      </c>
      <c r="E130" s="258"/>
      <c r="F130" s="258"/>
      <c r="G130" s="258"/>
      <c r="H130" s="258"/>
      <c r="I130" s="258"/>
      <c r="J130" s="258"/>
      <c r="K130" s="258"/>
      <c r="L130" s="258"/>
      <c r="M130" s="258"/>
      <c r="N130" s="548"/>
      <c r="O130" s="255"/>
      <c r="P130" s="255"/>
      <c r="Q130" s="255"/>
      <c r="R130" s="255"/>
      <c r="S130" s="255"/>
      <c r="T130" s="255"/>
      <c r="U130" s="255"/>
      <c r="V130" s="255"/>
      <c r="W130" s="548"/>
      <c r="X130" s="564"/>
      <c r="Y130" s="566"/>
      <c r="Z130" s="564"/>
      <c r="AA130" s="566"/>
      <c r="AB130" s="548" t="s">
        <v>225</v>
      </c>
      <c r="AC130" s="548" t="s">
        <v>226</v>
      </c>
      <c r="AD130" s="550"/>
      <c r="AE130" s="551"/>
    </row>
    <row r="131" spans="1:31" s="1" customFormat="1" x14ac:dyDescent="0.25">
      <c r="A131" s="570"/>
      <c r="B131" s="570"/>
      <c r="C131" s="572"/>
      <c r="D131" s="573"/>
      <c r="E131" s="259"/>
      <c r="F131" s="259"/>
      <c r="G131" s="259"/>
      <c r="H131" s="259"/>
      <c r="I131" s="259"/>
      <c r="J131" s="259"/>
      <c r="K131" s="259"/>
      <c r="L131" s="259"/>
      <c r="M131" s="259"/>
      <c r="N131" s="549"/>
      <c r="O131" s="256"/>
      <c r="P131" s="256"/>
      <c r="Q131" s="256"/>
      <c r="R131" s="256"/>
      <c r="S131" s="256"/>
      <c r="T131" s="256"/>
      <c r="U131" s="256"/>
      <c r="V131" s="256"/>
      <c r="W131" s="549"/>
      <c r="X131" s="565"/>
      <c r="Y131" s="567"/>
      <c r="Z131" s="565"/>
      <c r="AA131" s="567"/>
      <c r="AB131" s="549"/>
      <c r="AC131" s="549"/>
      <c r="AD131" s="78"/>
      <c r="AE131" s="78"/>
    </row>
    <row r="132" spans="1:31" s="1" customFormat="1" x14ac:dyDescent="0.25"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X132" s="77"/>
      <c r="Y132" s="77"/>
      <c r="AD132" s="100"/>
      <c r="AE132" s="100"/>
    </row>
    <row r="133" spans="1:31" s="1" customFormat="1" x14ac:dyDescent="0.25">
      <c r="A133" s="558">
        <v>1</v>
      </c>
      <c r="B133" s="609" t="s">
        <v>242</v>
      </c>
      <c r="C133" s="83" t="s">
        <v>237</v>
      </c>
      <c r="D133" s="84">
        <v>6</v>
      </c>
      <c r="E133" s="84"/>
      <c r="F133" s="84"/>
      <c r="G133" s="84"/>
      <c r="H133" s="84"/>
      <c r="I133" s="84"/>
      <c r="J133" s="84"/>
      <c r="K133" s="84"/>
      <c r="L133" s="84"/>
      <c r="M133" s="86">
        <f>SUMIF('Наставни ансамбл'!J14:J220,"Јелина Ђурковић",'Наставни ансамбл'!G14:G220)</f>
        <v>0</v>
      </c>
      <c r="N133" s="130"/>
      <c r="O133" s="86"/>
      <c r="P133" s="86"/>
      <c r="Q133" s="86"/>
      <c r="R133" s="86"/>
      <c r="S133" s="86"/>
      <c r="T133" s="86"/>
      <c r="U133" s="86"/>
      <c r="V133" s="88">
        <f>SUMIF('Наставни ансамбл'!J14:J220,"Јелина Ђурковић",'Наставни ансамбл'!H14:H220)</f>
        <v>0</v>
      </c>
      <c r="W133" s="84"/>
      <c r="X133" s="84">
        <f t="shared" ref="X133:X160" si="16">M133+(V133*0.6)</f>
        <v>0</v>
      </c>
      <c r="Y133" s="89">
        <f t="shared" ref="Y133:Y160" si="17">X133/D133*100</f>
        <v>0</v>
      </c>
      <c r="Z133" s="556">
        <f>(X133+X134)/2</f>
        <v>0</v>
      </c>
      <c r="AA133" s="558">
        <f>Z133/D133*100</f>
        <v>0</v>
      </c>
      <c r="AB133" s="556" t="s">
        <v>254</v>
      </c>
      <c r="AC133" s="556" t="s">
        <v>254</v>
      </c>
      <c r="AD133" s="552">
        <v>4</v>
      </c>
      <c r="AE133" s="552">
        <v>3</v>
      </c>
    </row>
    <row r="134" spans="1:31" s="1" customFormat="1" x14ac:dyDescent="0.25">
      <c r="A134" s="559"/>
      <c r="B134" s="610"/>
      <c r="C134" s="90" t="s">
        <v>238</v>
      </c>
      <c r="D134" s="91">
        <v>6</v>
      </c>
      <c r="E134" s="140"/>
      <c r="F134" s="140"/>
      <c r="G134" s="140"/>
      <c r="H134" s="140"/>
      <c r="I134" s="140"/>
      <c r="J134" s="140"/>
      <c r="K134" s="140"/>
      <c r="L134" s="140"/>
      <c r="M134" s="86">
        <f>SUMIF('Наставни ансамбл'!J378:J585,"Јелина Ђурковић",'Наставни ансамбл'!G378:G585)</f>
        <v>0</v>
      </c>
      <c r="N134" s="111"/>
      <c r="O134" s="112"/>
      <c r="P134" s="112"/>
      <c r="Q134" s="112"/>
      <c r="R134" s="112"/>
      <c r="S134" s="112"/>
      <c r="T134" s="112"/>
      <c r="U134" s="112"/>
      <c r="V134" s="107">
        <f>SUMIF('Наставни ансамбл'!J378:J585,"Јелина Ђурковић",'Наставни ансамбл'!H378:H585)</f>
        <v>0</v>
      </c>
      <c r="W134" s="140"/>
      <c r="X134" s="91">
        <f t="shared" si="16"/>
        <v>0</v>
      </c>
      <c r="Y134" s="93">
        <f t="shared" si="17"/>
        <v>0</v>
      </c>
      <c r="Z134" s="557"/>
      <c r="AA134" s="559"/>
      <c r="AB134" s="557"/>
      <c r="AC134" s="557"/>
      <c r="AD134" s="553"/>
      <c r="AE134" s="553"/>
    </row>
    <row r="135" spans="1:31" s="1" customFormat="1" x14ac:dyDescent="0.25">
      <c r="A135" s="558">
        <v>2</v>
      </c>
      <c r="B135" s="580" t="s">
        <v>282</v>
      </c>
      <c r="C135" s="83" t="s">
        <v>237</v>
      </c>
      <c r="D135" s="84">
        <v>6</v>
      </c>
      <c r="E135" s="84"/>
      <c r="F135" s="84"/>
      <c r="G135" s="84"/>
      <c r="H135" s="84"/>
      <c r="I135" s="84"/>
      <c r="J135" s="84"/>
      <c r="K135" s="84"/>
      <c r="L135" s="84"/>
      <c r="M135" s="86">
        <f>SUMIF('Наставни ансамбл'!J14:J220,"Вељко Брборић",'Наставни ансамбл'!G14:G220)</f>
        <v>3</v>
      </c>
      <c r="N135" s="105"/>
      <c r="O135" s="112"/>
      <c r="P135" s="112"/>
      <c r="Q135" s="112"/>
      <c r="R135" s="112"/>
      <c r="S135" s="112"/>
      <c r="T135" s="112"/>
      <c r="U135" s="112"/>
      <c r="V135" s="107">
        <f>SUMIF('Наставни ансамбл'!J14:J220,"Вељко Брборић",'Наставни ансамбл'!H14:H220)</f>
        <v>0</v>
      </c>
      <c r="W135" s="84"/>
      <c r="X135" s="84">
        <f t="shared" si="16"/>
        <v>3</v>
      </c>
      <c r="Y135" s="89">
        <f t="shared" si="17"/>
        <v>50</v>
      </c>
      <c r="Z135" s="556">
        <f>(X135+X136)/2</f>
        <v>1.5</v>
      </c>
      <c r="AA135" s="558">
        <f>Z135/D135*100</f>
        <v>25</v>
      </c>
      <c r="AB135" s="556" t="s">
        <v>254</v>
      </c>
      <c r="AC135" s="556" t="s">
        <v>254</v>
      </c>
      <c r="AD135" s="552">
        <v>3</v>
      </c>
      <c r="AE135" s="552">
        <v>3</v>
      </c>
    </row>
    <row r="136" spans="1:31" s="1" customFormat="1" x14ac:dyDescent="0.25">
      <c r="A136" s="559"/>
      <c r="B136" s="581"/>
      <c r="C136" s="90" t="s">
        <v>238</v>
      </c>
      <c r="D136" s="91">
        <v>6</v>
      </c>
      <c r="E136" s="140"/>
      <c r="F136" s="140"/>
      <c r="G136" s="140"/>
      <c r="H136" s="140"/>
      <c r="I136" s="140"/>
      <c r="J136" s="140"/>
      <c r="K136" s="140"/>
      <c r="L136" s="140"/>
      <c r="M136" s="86">
        <f>SUMIF('Наставни ансамбл'!J378:J585,"Вељко Брборић",'Наставни ансамбл'!G378:G585)</f>
        <v>0</v>
      </c>
      <c r="N136" s="131"/>
      <c r="O136" s="86"/>
      <c r="P136" s="86"/>
      <c r="Q136" s="86"/>
      <c r="R136" s="86"/>
      <c r="S136" s="86"/>
      <c r="T136" s="86"/>
      <c r="U136" s="86"/>
      <c r="V136" s="88">
        <f>SUMIF('Наставни ансамбл'!J378:J585,"Вељко Брборић",'Наставни ансамбл'!H378:H585)</f>
        <v>0</v>
      </c>
      <c r="W136" s="140"/>
      <c r="X136" s="91">
        <f t="shared" si="16"/>
        <v>0</v>
      </c>
      <c r="Y136" s="93">
        <f t="shared" si="17"/>
        <v>0</v>
      </c>
      <c r="Z136" s="557"/>
      <c r="AA136" s="559"/>
      <c r="AB136" s="557"/>
      <c r="AC136" s="557"/>
      <c r="AD136" s="553"/>
      <c r="AE136" s="553"/>
    </row>
    <row r="137" spans="1:31" s="1" customFormat="1" x14ac:dyDescent="0.25">
      <c r="A137" s="558">
        <v>3</v>
      </c>
      <c r="B137" s="580" t="s">
        <v>257</v>
      </c>
      <c r="C137" s="83" t="s">
        <v>237</v>
      </c>
      <c r="D137" s="84">
        <v>6</v>
      </c>
      <c r="E137" s="84"/>
      <c r="F137" s="84"/>
      <c r="G137" s="84"/>
      <c r="H137" s="84"/>
      <c r="I137" s="84"/>
      <c r="J137" s="84"/>
      <c r="K137" s="84"/>
      <c r="L137" s="84"/>
      <c r="M137" s="86">
        <f>SUMIF('Наставни ансамбл'!J14:J220,"Драган Мартиновић",'Наставни ансамбл'!G14:G220)</f>
        <v>0</v>
      </c>
      <c r="N137" s="84"/>
      <c r="O137" s="86"/>
      <c r="P137" s="86"/>
      <c r="Q137" s="86"/>
      <c r="R137" s="86"/>
      <c r="S137" s="86"/>
      <c r="T137" s="86"/>
      <c r="U137" s="86"/>
      <c r="V137" s="88">
        <f>SUMIF('Наставни ансамбл'!J14:J220,"Драган Мартиновић",'Наставни ансамбл'!H14:H220)</f>
        <v>0</v>
      </c>
      <c r="W137" s="84"/>
      <c r="X137" s="84">
        <f t="shared" si="16"/>
        <v>0</v>
      </c>
      <c r="Y137" s="89">
        <f t="shared" si="17"/>
        <v>0</v>
      </c>
      <c r="Z137" s="556">
        <f>(X137+X138)/2</f>
        <v>0</v>
      </c>
      <c r="AA137" s="558">
        <f>Z137/D137*100</f>
        <v>0</v>
      </c>
      <c r="AB137" s="556" t="s">
        <v>254</v>
      </c>
      <c r="AC137" s="556" t="s">
        <v>254</v>
      </c>
      <c r="AD137" s="552">
        <v>1</v>
      </c>
      <c r="AE137" s="552">
        <v>1</v>
      </c>
    </row>
    <row r="138" spans="1:31" s="1" customFormat="1" x14ac:dyDescent="0.25">
      <c r="A138" s="559"/>
      <c r="B138" s="581"/>
      <c r="C138" s="90" t="s">
        <v>238</v>
      </c>
      <c r="D138" s="91">
        <v>6</v>
      </c>
      <c r="E138" s="140"/>
      <c r="F138" s="140"/>
      <c r="G138" s="140"/>
      <c r="H138" s="140"/>
      <c r="I138" s="140"/>
      <c r="J138" s="140"/>
      <c r="K138" s="140"/>
      <c r="L138" s="140"/>
      <c r="M138" s="86">
        <f>SUMIF('Наставни ансамбл'!J378:J585,"Драган Мартиновић",'Наставни ансамбл'!G378:G585)</f>
        <v>0</v>
      </c>
      <c r="N138" s="140"/>
      <c r="O138" s="86"/>
      <c r="P138" s="86"/>
      <c r="Q138" s="86"/>
      <c r="R138" s="86"/>
      <c r="S138" s="86"/>
      <c r="T138" s="86"/>
      <c r="U138" s="86"/>
      <c r="V138" s="88">
        <f>SUMIF('Наставни ансамбл'!J378:J585,"Драган Мартиновић",'Наставни ансамбл'!H378:H585)</f>
        <v>0</v>
      </c>
      <c r="W138" s="140"/>
      <c r="X138" s="91">
        <f t="shared" si="16"/>
        <v>0</v>
      </c>
      <c r="Y138" s="93">
        <f t="shared" si="17"/>
        <v>0</v>
      </c>
      <c r="Z138" s="557"/>
      <c r="AA138" s="559"/>
      <c r="AB138" s="557"/>
      <c r="AC138" s="557"/>
      <c r="AD138" s="553"/>
      <c r="AE138" s="553"/>
    </row>
    <row r="139" spans="1:31" s="1" customFormat="1" ht="15" hidden="1" customHeight="1" x14ac:dyDescent="0.25">
      <c r="A139" s="624">
        <v>3</v>
      </c>
      <c r="B139" s="580" t="s">
        <v>240</v>
      </c>
      <c r="C139" s="83" t="s">
        <v>237</v>
      </c>
      <c r="D139" s="84">
        <v>6</v>
      </c>
      <c r="E139" s="139"/>
      <c r="F139" s="139"/>
      <c r="G139" s="139"/>
      <c r="H139" s="139"/>
      <c r="I139" s="139"/>
      <c r="J139" s="139"/>
      <c r="K139" s="139"/>
      <c r="L139" s="139"/>
      <c r="M139" s="86">
        <f>SUMIF('Наставни ансамбл'!J53:J405,"Владо Медаковић",'Наставни ансамбл'!G53:G405)</f>
        <v>0</v>
      </c>
      <c r="N139" s="105"/>
      <c r="O139" s="112"/>
      <c r="P139" s="112"/>
      <c r="Q139" s="112"/>
      <c r="R139" s="112"/>
      <c r="S139" s="112"/>
      <c r="T139" s="112"/>
      <c r="U139" s="112"/>
      <c r="V139" s="107">
        <f>SUMIF('Наставни ансамбл'!J53:J405,"Владо Медаковић",'Наставни ансамбл'!H53:H405)</f>
        <v>0</v>
      </c>
      <c r="W139" s="139"/>
      <c r="X139" s="84">
        <f t="shared" si="16"/>
        <v>0</v>
      </c>
      <c r="Y139" s="89">
        <f t="shared" si="17"/>
        <v>0</v>
      </c>
      <c r="Z139" s="556">
        <f>(X139+X140)/2</f>
        <v>1</v>
      </c>
      <c r="AA139" s="558">
        <f>Z139/D139*100</f>
        <v>16.666666666666664</v>
      </c>
      <c r="AB139" s="556">
        <f>IF(Z139&lt;=D139,Z139,D139)</f>
        <v>1</v>
      </c>
      <c r="AC139" s="556">
        <f>IF(Z139&gt;D139,Z139-D139,0)</f>
        <v>0</v>
      </c>
      <c r="AD139" s="560">
        <v>3</v>
      </c>
      <c r="AE139" s="560">
        <v>2</v>
      </c>
    </row>
    <row r="140" spans="1:31" s="1" customFormat="1" hidden="1" x14ac:dyDescent="0.25">
      <c r="A140" s="625"/>
      <c r="B140" s="581"/>
      <c r="C140" s="90" t="s">
        <v>238</v>
      </c>
      <c r="D140" s="91">
        <v>6</v>
      </c>
      <c r="E140" s="140"/>
      <c r="F140" s="140"/>
      <c r="G140" s="140"/>
      <c r="H140" s="140"/>
      <c r="I140" s="140"/>
      <c r="J140" s="140"/>
      <c r="K140" s="140"/>
      <c r="L140" s="140"/>
      <c r="M140" s="86">
        <f>SUMIF('Наставни ансамбл'!J415:J797,"Владо Медаковић",'Наставни ансамбл'!G415:G797)</f>
        <v>2</v>
      </c>
      <c r="N140" s="131"/>
      <c r="O140" s="86"/>
      <c r="P140" s="86"/>
      <c r="Q140" s="86"/>
      <c r="R140" s="86"/>
      <c r="S140" s="86"/>
      <c r="T140" s="86"/>
      <c r="U140" s="86"/>
      <c r="V140" s="88">
        <f>SUMIF('Наставни ансамбл'!J415:J797,"Владо Медаковић",'Наставни ансамбл'!H415:H797)</f>
        <v>0</v>
      </c>
      <c r="W140" s="140"/>
      <c r="X140" s="91">
        <f t="shared" si="16"/>
        <v>2</v>
      </c>
      <c r="Y140" s="93">
        <f t="shared" si="17"/>
        <v>33.333333333333329</v>
      </c>
      <c r="Z140" s="557"/>
      <c r="AA140" s="559"/>
      <c r="AB140" s="557"/>
      <c r="AC140" s="557"/>
      <c r="AD140" s="553"/>
      <c r="AE140" s="553"/>
    </row>
    <row r="141" spans="1:31" s="1" customFormat="1" hidden="1" x14ac:dyDescent="0.25">
      <c r="A141" s="558">
        <v>3</v>
      </c>
      <c r="B141" s="580" t="s">
        <v>241</v>
      </c>
      <c r="C141" s="83" t="s">
        <v>237</v>
      </c>
      <c r="D141" s="84">
        <v>6</v>
      </c>
      <c r="E141" s="139"/>
      <c r="F141" s="139"/>
      <c r="G141" s="139"/>
      <c r="H141" s="139"/>
      <c r="I141" s="139"/>
      <c r="J141" s="139"/>
      <c r="K141" s="139"/>
      <c r="L141" s="203">
        <v>2</v>
      </c>
      <c r="M141" s="86">
        <f>SUMIF('Наставни ансамбл'!J53:J405,"Владо Медаковић",'Наставни ансамбл'!G53:G405)</f>
        <v>0</v>
      </c>
      <c r="N141" s="142"/>
      <c r="O141" s="112"/>
      <c r="P141" s="112"/>
      <c r="Q141" s="112"/>
      <c r="R141" s="112"/>
      <c r="S141" s="112"/>
      <c r="T141" s="112"/>
      <c r="U141" s="112"/>
      <c r="V141" s="107">
        <f>SUMIF('Наставни ансамбл'!J53:J405,"Владо Медаковић",'Наставни ансамбл'!H53:H405)</f>
        <v>0</v>
      </c>
      <c r="W141" s="139"/>
      <c r="X141" s="84">
        <f t="shared" si="16"/>
        <v>0</v>
      </c>
      <c r="Y141" s="89">
        <f t="shared" si="17"/>
        <v>0</v>
      </c>
      <c r="Z141" s="556">
        <f>(X141+X142)/2</f>
        <v>1</v>
      </c>
      <c r="AA141" s="558">
        <f>Z141/D141*100</f>
        <v>16.666666666666664</v>
      </c>
      <c r="AB141" s="556">
        <f>IF(Z141&lt;=D141,Z141,D141)</f>
        <v>1</v>
      </c>
      <c r="AC141" s="556">
        <f>IF(Z141&gt;D141,Z141-D141,0)</f>
        <v>0</v>
      </c>
      <c r="AD141" s="560">
        <v>3</v>
      </c>
      <c r="AE141" s="560">
        <v>2</v>
      </c>
    </row>
    <row r="142" spans="1:31" s="1" customFormat="1" hidden="1" x14ac:dyDescent="0.25">
      <c r="A142" s="559"/>
      <c r="B142" s="581"/>
      <c r="C142" s="90" t="s">
        <v>238</v>
      </c>
      <c r="D142" s="91">
        <v>6</v>
      </c>
      <c r="E142" s="140"/>
      <c r="F142" s="140"/>
      <c r="G142" s="140"/>
      <c r="H142" s="140"/>
      <c r="I142" s="140"/>
      <c r="J142" s="140"/>
      <c r="K142" s="140"/>
      <c r="L142" s="140"/>
      <c r="M142" s="86">
        <f>SUMIF('Наставни ансамбл'!J415:J797,"Владо Медаковић",'Наставни ансамбл'!G415:G797)</f>
        <v>2</v>
      </c>
      <c r="N142" s="111"/>
      <c r="O142" s="112"/>
      <c r="P142" s="112"/>
      <c r="Q142" s="112"/>
      <c r="R142" s="112"/>
      <c r="S142" s="112"/>
      <c r="T142" s="112"/>
      <c r="U142" s="112"/>
      <c r="V142" s="107">
        <f>SUMIF('Наставни ансамбл'!J415:J797,"Владо Медаковић",'Наставни ансамбл'!H415:H797)</f>
        <v>0</v>
      </c>
      <c r="W142" s="140"/>
      <c r="X142" s="91">
        <f t="shared" si="16"/>
        <v>2</v>
      </c>
      <c r="Y142" s="93">
        <f t="shared" si="17"/>
        <v>33.333333333333329</v>
      </c>
      <c r="Z142" s="557"/>
      <c r="AA142" s="559"/>
      <c r="AB142" s="557"/>
      <c r="AC142" s="557"/>
      <c r="AD142" s="553"/>
      <c r="AE142" s="553"/>
    </row>
    <row r="143" spans="1:31" s="1" customFormat="1" x14ac:dyDescent="0.25">
      <c r="A143" s="624">
        <v>4</v>
      </c>
      <c r="B143" s="611" t="s">
        <v>40</v>
      </c>
      <c r="C143" s="83" t="s">
        <v>237</v>
      </c>
      <c r="D143" s="84">
        <v>6</v>
      </c>
      <c r="E143" s="139"/>
      <c r="F143" s="139"/>
      <c r="G143" s="139"/>
      <c r="H143" s="139"/>
      <c r="I143" s="139"/>
      <c r="J143" s="139"/>
      <c r="K143" s="139"/>
      <c r="L143" s="139"/>
      <c r="M143" s="86">
        <f>SUMIF('Наставни ансамбл'!J14:J220,"Данимир Мандић",'Наставни ансамбл'!G14:G220)</f>
        <v>0</v>
      </c>
      <c r="N143" s="130"/>
      <c r="O143" s="86"/>
      <c r="P143" s="86"/>
      <c r="Q143" s="86"/>
      <c r="R143" s="86"/>
      <c r="S143" s="86"/>
      <c r="T143" s="86"/>
      <c r="U143" s="86"/>
      <c r="V143" s="88">
        <f>SUMIF('Наставни ансамбл'!J14:J220,"Данимир Мандић",'Наставни ансамбл'!H14:H220)</f>
        <v>0</v>
      </c>
      <c r="W143" s="139"/>
      <c r="X143" s="84">
        <f t="shared" si="16"/>
        <v>0</v>
      </c>
      <c r="Y143" s="89">
        <f t="shared" si="17"/>
        <v>0</v>
      </c>
      <c r="Z143" s="556">
        <f>(X143+X144)/2</f>
        <v>3</v>
      </c>
      <c r="AA143" s="558">
        <f>Z143/D143*100</f>
        <v>50</v>
      </c>
      <c r="AB143" s="556">
        <f>IF(Z143&lt;=D143,Z143,D143)</f>
        <v>3</v>
      </c>
      <c r="AC143" s="556">
        <f>IF(Z143&gt;D143,Z143-D143,0)</f>
        <v>0</v>
      </c>
      <c r="AD143" s="560">
        <v>4</v>
      </c>
      <c r="AE143" s="560">
        <v>2</v>
      </c>
    </row>
    <row r="144" spans="1:31" s="1" customFormat="1" x14ac:dyDescent="0.25">
      <c r="A144" s="626"/>
      <c r="B144" s="581"/>
      <c r="C144" s="90" t="s">
        <v>238</v>
      </c>
      <c r="D144" s="91">
        <v>6</v>
      </c>
      <c r="E144" s="140"/>
      <c r="F144" s="140"/>
      <c r="G144" s="140"/>
      <c r="H144" s="140"/>
      <c r="I144" s="140"/>
      <c r="J144" s="140"/>
      <c r="K144" s="140"/>
      <c r="L144" s="140"/>
      <c r="M144" s="86">
        <f>SUMIF('Наставни ансамбл'!J378:J585,"Данимир Мандић",'Наставни ансамбл'!G378:G585)</f>
        <v>6</v>
      </c>
      <c r="N144" s="111"/>
      <c r="O144" s="112"/>
      <c r="P144" s="112"/>
      <c r="Q144" s="112"/>
      <c r="R144" s="112"/>
      <c r="S144" s="112"/>
      <c r="T144" s="112"/>
      <c r="U144" s="112"/>
      <c r="V144" s="107">
        <f>SUMIF('Наставни ансамбл'!J378:J585,"Данимир Мандић",'Наставни ансамбл'!H378:H585)</f>
        <v>0</v>
      </c>
      <c r="W144" s="140"/>
      <c r="X144" s="91">
        <f t="shared" si="16"/>
        <v>6</v>
      </c>
      <c r="Y144" s="93">
        <f t="shared" si="17"/>
        <v>100</v>
      </c>
      <c r="Z144" s="557"/>
      <c r="AA144" s="559"/>
      <c r="AB144" s="557"/>
      <c r="AC144" s="557"/>
      <c r="AD144" s="553"/>
      <c r="AE144" s="553"/>
    </row>
    <row r="145" spans="1:31" s="1" customFormat="1" x14ac:dyDescent="0.25">
      <c r="A145" s="627">
        <v>5</v>
      </c>
      <c r="B145" s="587" t="s">
        <v>299</v>
      </c>
      <c r="C145" s="83" t="s">
        <v>237</v>
      </c>
      <c r="D145" s="84">
        <v>6</v>
      </c>
      <c r="E145" s="130"/>
      <c r="F145" s="130"/>
      <c r="G145" s="130"/>
      <c r="H145" s="130"/>
      <c r="I145" s="130"/>
      <c r="J145" s="130"/>
      <c r="K145" s="130"/>
      <c r="L145" s="130"/>
      <c r="M145" s="86">
        <f>SUMIF('Наставни ансамбл'!J14:J220,"Радомир Кнежевић",'Наставни ансамбл'!G14:G220)</f>
        <v>0</v>
      </c>
      <c r="N145" s="105"/>
      <c r="O145" s="112"/>
      <c r="P145" s="112"/>
      <c r="Q145" s="112"/>
      <c r="R145" s="112"/>
      <c r="S145" s="112"/>
      <c r="T145" s="112"/>
      <c r="U145" s="112"/>
      <c r="V145" s="107">
        <f>SUMIF('Наставни ансамбл'!J14:J220,"Радомир Кнежевић",'Наставни ансамбл'!H14:H220)</f>
        <v>0</v>
      </c>
      <c r="W145" s="130"/>
      <c r="X145" s="130">
        <f t="shared" si="16"/>
        <v>0</v>
      </c>
      <c r="Y145" s="113">
        <f t="shared" si="17"/>
        <v>0</v>
      </c>
      <c r="Z145" s="556">
        <f>(X145+X146)/2</f>
        <v>0</v>
      </c>
      <c r="AA145" s="558">
        <f>Z145/D145*100</f>
        <v>0</v>
      </c>
      <c r="AB145" s="556">
        <f>IF(Z145&lt;=D145,Z145,D145)</f>
        <v>0</v>
      </c>
      <c r="AC145" s="556">
        <f>IF(Z145&gt;D145,Z145-D145,0)</f>
        <v>0</v>
      </c>
      <c r="AD145" s="560">
        <v>3</v>
      </c>
      <c r="AE145" s="560">
        <v>4</v>
      </c>
    </row>
    <row r="146" spans="1:31" s="1" customFormat="1" x14ac:dyDescent="0.25">
      <c r="A146" s="626"/>
      <c r="B146" s="615"/>
      <c r="C146" s="90" t="s">
        <v>238</v>
      </c>
      <c r="D146" s="91">
        <v>6</v>
      </c>
      <c r="E146" s="140"/>
      <c r="F146" s="140"/>
      <c r="G146" s="140"/>
      <c r="H146" s="140"/>
      <c r="I146" s="140"/>
      <c r="J146" s="140"/>
      <c r="K146" s="140"/>
      <c r="L146" s="140"/>
      <c r="M146" s="86">
        <f>SUMIF('Наставни ансамбл'!J378:J585,"Радомир Кнежевић",'Наставни ансамбл'!G378:G585)</f>
        <v>0</v>
      </c>
      <c r="N146" s="131"/>
      <c r="O146" s="86"/>
      <c r="P146" s="86"/>
      <c r="Q146" s="86"/>
      <c r="R146" s="86"/>
      <c r="S146" s="86"/>
      <c r="T146" s="86"/>
      <c r="U146" s="86"/>
      <c r="V146" s="88">
        <f>SUMIF('Наставни ансамбл'!J378:J585,"Радомир Кнежевић",'Наставни ансамбл'!H378:H585)</f>
        <v>0</v>
      </c>
      <c r="W146" s="140"/>
      <c r="X146" s="91">
        <f t="shared" si="16"/>
        <v>0</v>
      </c>
      <c r="Y146" s="93">
        <f t="shared" si="17"/>
        <v>0</v>
      </c>
      <c r="Z146" s="557"/>
      <c r="AA146" s="559"/>
      <c r="AB146" s="557"/>
      <c r="AC146" s="557"/>
      <c r="AD146" s="553"/>
      <c r="AE146" s="553"/>
    </row>
    <row r="147" spans="1:31" s="1" customFormat="1" x14ac:dyDescent="0.25">
      <c r="A147" s="558">
        <v>6</v>
      </c>
      <c r="B147" s="614" t="s">
        <v>537</v>
      </c>
      <c r="C147" s="83" t="s">
        <v>237</v>
      </c>
      <c r="D147" s="84">
        <v>6</v>
      </c>
      <c r="E147" s="142"/>
      <c r="F147" s="142"/>
      <c r="G147" s="142"/>
      <c r="H147" s="142"/>
      <c r="I147" s="142"/>
      <c r="J147" s="142"/>
      <c r="K147" s="142"/>
      <c r="L147" s="142"/>
      <c r="M147" s="86">
        <f>SUMIF('Наставни ансамбл'!J14:J220,"Драгана Ваљаревић",'Наставни ансамбл'!G14:G220)</f>
        <v>7</v>
      </c>
      <c r="N147" s="105"/>
      <c r="O147" s="112"/>
      <c r="P147" s="112"/>
      <c r="Q147" s="112"/>
      <c r="R147" s="112"/>
      <c r="S147" s="112"/>
      <c r="T147" s="112"/>
      <c r="U147" s="112"/>
      <c r="V147" s="107">
        <f>SUMIF('Наставни ансамбл'!J14:J220,"Драгана Ваљаревић",'Наставни ансамбл'!H14:H220)</f>
        <v>0</v>
      </c>
      <c r="W147" s="142"/>
      <c r="X147" s="130">
        <f t="shared" si="16"/>
        <v>7</v>
      </c>
      <c r="Y147" s="113">
        <f t="shared" si="17"/>
        <v>116.66666666666667</v>
      </c>
      <c r="Z147" s="556">
        <f>(X147+X148)/2</f>
        <v>5.5</v>
      </c>
      <c r="AA147" s="558">
        <f>Z147/D147*100</f>
        <v>91.666666666666657</v>
      </c>
      <c r="AB147" s="254">
        <f>IF(Z147&lt;=D147,Z147,D147)</f>
        <v>5.5</v>
      </c>
      <c r="AC147" s="254">
        <f>IF(Z147&gt;D147,Z147-D147,0)</f>
        <v>0</v>
      </c>
      <c r="AD147" s="560">
        <v>3</v>
      </c>
      <c r="AE147" s="552">
        <v>0</v>
      </c>
    </row>
    <row r="148" spans="1:31" s="1" customFormat="1" x14ac:dyDescent="0.25">
      <c r="A148" s="559"/>
      <c r="B148" s="615"/>
      <c r="C148" s="90" t="s">
        <v>238</v>
      </c>
      <c r="D148" s="91">
        <v>6</v>
      </c>
      <c r="E148" s="111"/>
      <c r="F148" s="111"/>
      <c r="G148" s="111"/>
      <c r="H148" s="111"/>
      <c r="I148" s="111"/>
      <c r="J148" s="111"/>
      <c r="K148" s="111"/>
      <c r="L148" s="111"/>
      <c r="M148" s="86">
        <f>SUMIF('Наставни ансамбл'!J378:J585,"Драгана Ваљаревић",'Наставни ансамбл'!G378:G585)</f>
        <v>4</v>
      </c>
      <c r="N148" s="131"/>
      <c r="O148" s="86"/>
      <c r="P148" s="86"/>
      <c r="Q148" s="86"/>
      <c r="R148" s="86"/>
      <c r="S148" s="86"/>
      <c r="T148" s="86"/>
      <c r="U148" s="86"/>
      <c r="V148" s="88">
        <f>SUMIF('Наставни ансамбл'!J378:J585,"Драгана Ваљаревић",'Наставни ансамбл'!H378:H585)</f>
        <v>0</v>
      </c>
      <c r="W148" s="111"/>
      <c r="X148" s="91">
        <f t="shared" si="16"/>
        <v>4</v>
      </c>
      <c r="Y148" s="93">
        <f t="shared" si="17"/>
        <v>66.666666666666657</v>
      </c>
      <c r="Z148" s="557"/>
      <c r="AA148" s="559"/>
      <c r="AB148" s="253"/>
      <c r="AC148" s="253"/>
      <c r="AD148" s="553"/>
      <c r="AE148" s="583"/>
    </row>
    <row r="149" spans="1:31" s="1" customFormat="1" x14ac:dyDescent="0.25">
      <c r="A149" s="558">
        <v>7</v>
      </c>
      <c r="B149" s="614" t="s">
        <v>411</v>
      </c>
      <c r="C149" s="83" t="s">
        <v>237</v>
      </c>
      <c r="D149" s="84">
        <v>6</v>
      </c>
      <c r="E149" s="142"/>
      <c r="F149" s="142"/>
      <c r="G149" s="142"/>
      <c r="H149" s="142"/>
      <c r="I149" s="142"/>
      <c r="J149" s="142"/>
      <c r="K149" s="142"/>
      <c r="L149" s="142"/>
      <c r="M149" s="86">
        <f>SUMIF('Наставни ансамбл'!J14:J220,"Небојша Ралевић",'Наставни ансамбл'!G14:G220)</f>
        <v>6</v>
      </c>
      <c r="N149" s="142"/>
      <c r="O149" s="112"/>
      <c r="P149" s="112"/>
      <c r="Q149" s="112"/>
      <c r="R149" s="112"/>
      <c r="S149" s="112"/>
      <c r="T149" s="112"/>
      <c r="U149" s="112"/>
      <c r="V149" s="107">
        <f>SUMIF('Наставни ансамбл'!J14:J220,"Небојша Ралевић",'Наставни ансамбл'!H14:H220)</f>
        <v>0</v>
      </c>
      <c r="W149" s="142"/>
      <c r="X149" s="130">
        <f t="shared" si="16"/>
        <v>6</v>
      </c>
      <c r="Y149" s="113">
        <f t="shared" si="17"/>
        <v>100</v>
      </c>
      <c r="Z149" s="556">
        <f>(X149+X150)/2</f>
        <v>3</v>
      </c>
      <c r="AA149" s="558">
        <f>Z149/D149*100</f>
        <v>50</v>
      </c>
      <c r="AB149" s="254">
        <f>IF(Z149&lt;=D149,Z149,D149)</f>
        <v>3</v>
      </c>
      <c r="AC149" s="254">
        <f>IF(Z149&gt;D149,Z149-D149,0)</f>
        <v>0</v>
      </c>
      <c r="AD149" s="560">
        <v>2</v>
      </c>
      <c r="AE149" s="552">
        <v>0</v>
      </c>
    </row>
    <row r="150" spans="1:31" s="1" customFormat="1" x14ac:dyDescent="0.25">
      <c r="A150" s="559">
        <v>5.8571428571428603</v>
      </c>
      <c r="B150" s="615"/>
      <c r="C150" s="90" t="s">
        <v>238</v>
      </c>
      <c r="D150" s="91">
        <v>6</v>
      </c>
      <c r="E150" s="111"/>
      <c r="F150" s="111"/>
      <c r="G150" s="111"/>
      <c r="H150" s="111"/>
      <c r="I150" s="111"/>
      <c r="J150" s="111"/>
      <c r="K150" s="111"/>
      <c r="L150" s="111"/>
      <c r="M150" s="86">
        <f>SUMIF('Наставни ансамбл'!J378:J585,"Небојша Ралевић",'Наставни ансамбл'!G378:G585)</f>
        <v>0</v>
      </c>
      <c r="N150" s="111"/>
      <c r="O150" s="112"/>
      <c r="P150" s="112"/>
      <c r="Q150" s="112"/>
      <c r="R150" s="112"/>
      <c r="S150" s="112"/>
      <c r="T150" s="112"/>
      <c r="U150" s="112"/>
      <c r="V150" s="107">
        <f>SUMIF('Наставни ансамбл'!J378:J585,"Небојша Ралевић",'Наставни ансамбл'!H378:H585)</f>
        <v>0</v>
      </c>
      <c r="W150" s="111"/>
      <c r="X150" s="91">
        <f t="shared" si="16"/>
        <v>0</v>
      </c>
      <c r="Y150" s="93">
        <f t="shared" si="17"/>
        <v>0</v>
      </c>
      <c r="Z150" s="557"/>
      <c r="AA150" s="559"/>
      <c r="AB150" s="253"/>
      <c r="AC150" s="253"/>
      <c r="AD150" s="553"/>
      <c r="AE150" s="583"/>
    </row>
    <row r="151" spans="1:31" s="1" customFormat="1" x14ac:dyDescent="0.25">
      <c r="A151" s="558">
        <v>8</v>
      </c>
      <c r="B151" s="614" t="s">
        <v>533</v>
      </c>
      <c r="C151" s="83" t="s">
        <v>237</v>
      </c>
      <c r="D151" s="84">
        <v>6</v>
      </c>
      <c r="E151" s="142"/>
      <c r="F151" s="142"/>
      <c r="G151" s="142"/>
      <c r="H151" s="142"/>
      <c r="I151" s="142"/>
      <c r="J151" s="142"/>
      <c r="K151" s="142"/>
      <c r="L151" s="142"/>
      <c r="M151" s="86">
        <f>SUMIF('Наставни ансамбл'!J14:J220,"Ацо Антић",'Наставни ансамбл'!G14:G220)</f>
        <v>2</v>
      </c>
      <c r="N151" s="130"/>
      <c r="O151" s="86"/>
      <c r="P151" s="86"/>
      <c r="Q151" s="86"/>
      <c r="R151" s="86"/>
      <c r="S151" s="86"/>
      <c r="T151" s="86"/>
      <c r="U151" s="86"/>
      <c r="V151" s="88">
        <f>SUMIF('Наставни ансамбл'!J14:J220,"Ацо Антић",'Наставни ансамбл'!H14:H220)</f>
        <v>2</v>
      </c>
      <c r="W151" s="142"/>
      <c r="X151" s="130">
        <f t="shared" si="16"/>
        <v>3.2</v>
      </c>
      <c r="Y151" s="113">
        <f t="shared" si="17"/>
        <v>53.333333333333336</v>
      </c>
      <c r="Z151" s="556">
        <f>(X151+X152)/2</f>
        <v>1.6</v>
      </c>
      <c r="AA151" s="558">
        <f>Z151/D151*100</f>
        <v>26.666666666666668</v>
      </c>
      <c r="AB151" s="254">
        <f>IF(Z151&lt;=D151,Z151,D151)</f>
        <v>1.6</v>
      </c>
      <c r="AC151" s="254">
        <f>IF(Z151&gt;D151,Z151-D151,0)</f>
        <v>0</v>
      </c>
      <c r="AD151" s="560">
        <v>2</v>
      </c>
      <c r="AE151" s="552">
        <v>0</v>
      </c>
    </row>
    <row r="152" spans="1:31" s="1" customFormat="1" x14ac:dyDescent="0.25">
      <c r="A152" s="559">
        <v>6.4285714285714297</v>
      </c>
      <c r="B152" s="615"/>
      <c r="C152" s="90" t="s">
        <v>238</v>
      </c>
      <c r="D152" s="91">
        <v>6</v>
      </c>
      <c r="E152" s="111"/>
      <c r="F152" s="111"/>
      <c r="G152" s="111"/>
      <c r="H152" s="111"/>
      <c r="I152" s="111"/>
      <c r="J152" s="111"/>
      <c r="K152" s="111"/>
      <c r="L152" s="111"/>
      <c r="M152" s="86">
        <f>SUMIF('Наставни ансамбл'!J378:J585,"Ацо Антић",'Наставни ансамбл'!G378:G585)</f>
        <v>0</v>
      </c>
      <c r="N152" s="111"/>
      <c r="O152" s="112"/>
      <c r="P152" s="112"/>
      <c r="Q152" s="112"/>
      <c r="R152" s="112"/>
      <c r="S152" s="112"/>
      <c r="T152" s="112"/>
      <c r="U152" s="112"/>
      <c r="V152" s="107">
        <f>SUMIF('Наставни ансамбл'!J378:J585,"Ацо Антић",'Наставни ансамбл'!H378:H585)</f>
        <v>0</v>
      </c>
      <c r="W152" s="111"/>
      <c r="X152" s="91">
        <f t="shared" si="16"/>
        <v>0</v>
      </c>
      <c r="Y152" s="93">
        <f t="shared" si="17"/>
        <v>0</v>
      </c>
      <c r="Z152" s="557"/>
      <c r="AA152" s="559"/>
      <c r="AB152" s="253"/>
      <c r="AC152" s="253"/>
      <c r="AD152" s="553"/>
      <c r="AE152" s="583"/>
    </row>
    <row r="153" spans="1:31" s="1" customFormat="1" x14ac:dyDescent="0.25">
      <c r="A153" s="624">
        <v>9</v>
      </c>
      <c r="B153" s="630" t="s">
        <v>534</v>
      </c>
      <c r="C153" s="83" t="s">
        <v>237</v>
      </c>
      <c r="D153" s="84">
        <v>6</v>
      </c>
      <c r="E153" s="142"/>
      <c r="F153" s="142"/>
      <c r="G153" s="142"/>
      <c r="H153" s="142"/>
      <c r="I153" s="142"/>
      <c r="J153" s="142"/>
      <c r="K153" s="142"/>
      <c r="L153" s="142"/>
      <c r="M153" s="86">
        <f>SUMIF('Наставни ансамбл'!J14:J220,"Љубо Недовић",'Наставни ансамбл'!G14:G220)</f>
        <v>4</v>
      </c>
      <c r="N153" s="105"/>
      <c r="O153" s="112"/>
      <c r="P153" s="112"/>
      <c r="Q153" s="112"/>
      <c r="R153" s="112"/>
      <c r="S153" s="112"/>
      <c r="T153" s="112"/>
      <c r="U153" s="112"/>
      <c r="V153" s="107">
        <f>SUMIF('Наставни ансамбл'!J14:J220,"Љубо Недовић",'Наставни ансамбл'!H14:H220)</f>
        <v>0</v>
      </c>
      <c r="W153" s="142"/>
      <c r="X153" s="130">
        <f t="shared" si="16"/>
        <v>4</v>
      </c>
      <c r="Y153" s="113">
        <f t="shared" si="17"/>
        <v>66.666666666666657</v>
      </c>
      <c r="Z153" s="556">
        <f>(X153+X154)/2</f>
        <v>2</v>
      </c>
      <c r="AA153" s="558">
        <f>Z153/D153*100</f>
        <v>33.333333333333329</v>
      </c>
      <c r="AB153" s="254">
        <f>IF(Z153&lt;=D153,Z153,D153)</f>
        <v>2</v>
      </c>
      <c r="AC153" s="254">
        <f>IF(Z153&gt;D153,Z153-D153,0)</f>
        <v>0</v>
      </c>
      <c r="AD153" s="560">
        <v>2</v>
      </c>
      <c r="AE153" s="552">
        <v>2</v>
      </c>
    </row>
    <row r="154" spans="1:31" s="1" customFormat="1" x14ac:dyDescent="0.25">
      <c r="A154" s="625">
        <v>7</v>
      </c>
      <c r="B154" s="631"/>
      <c r="C154" s="90" t="s">
        <v>238</v>
      </c>
      <c r="D154" s="91">
        <v>6</v>
      </c>
      <c r="E154" s="111"/>
      <c r="F154" s="111"/>
      <c r="G154" s="111"/>
      <c r="H154" s="111"/>
      <c r="I154" s="111"/>
      <c r="J154" s="111"/>
      <c r="K154" s="111"/>
      <c r="L154" s="111"/>
      <c r="M154" s="86">
        <f>SUMIF('Наставни ансамбл'!J378:J585,"Љубо Недовић",'Наставни ансамбл'!G378:G585)</f>
        <v>0</v>
      </c>
      <c r="N154" s="131"/>
      <c r="O154" s="86"/>
      <c r="P154" s="86"/>
      <c r="Q154" s="86"/>
      <c r="R154" s="86"/>
      <c r="S154" s="86"/>
      <c r="T154" s="86"/>
      <c r="U154" s="86"/>
      <c r="V154" s="88">
        <f>SUMIF('Наставни ансамбл'!J378:J585,"Љубо Недовић",'Наставни ансамбл'!H378:H585)</f>
        <v>0</v>
      </c>
      <c r="W154" s="111"/>
      <c r="X154" s="91">
        <f t="shared" si="16"/>
        <v>0</v>
      </c>
      <c r="Y154" s="93">
        <f t="shared" si="17"/>
        <v>0</v>
      </c>
      <c r="Z154" s="557"/>
      <c r="AA154" s="559"/>
      <c r="AB154" s="253"/>
      <c r="AC154" s="253"/>
      <c r="AD154" s="553"/>
      <c r="AE154" s="583"/>
    </row>
    <row r="155" spans="1:31" s="1" customFormat="1" x14ac:dyDescent="0.25">
      <c r="A155" s="558">
        <v>10</v>
      </c>
      <c r="B155" s="614" t="s">
        <v>535</v>
      </c>
      <c r="C155" s="83" t="s">
        <v>237</v>
      </c>
      <c r="D155" s="84">
        <v>6</v>
      </c>
      <c r="E155" s="142"/>
      <c r="F155" s="142"/>
      <c r="G155" s="142"/>
      <c r="H155" s="142"/>
      <c r="I155" s="142"/>
      <c r="J155" s="142"/>
      <c r="K155" s="142"/>
      <c r="L155" s="142"/>
      <c r="M155" s="86">
        <f>SUMIF('Наставни ансамбл'!J14:J220,"Владимир Илић",'Наставни ансамбл'!G14:G220)</f>
        <v>0</v>
      </c>
      <c r="N155" s="84"/>
      <c r="O155" s="86"/>
      <c r="P155" s="86"/>
      <c r="Q155" s="86"/>
      <c r="R155" s="86"/>
      <c r="S155" s="86"/>
      <c r="T155" s="86"/>
      <c r="U155" s="86"/>
      <c r="V155" s="88">
        <f>SUMIF('Наставни ансамбл'!J14:J220,"Владимир Илић",'Наставни ансамбл'!H14:H220)</f>
        <v>0</v>
      </c>
      <c r="W155" s="142"/>
      <c r="X155" s="130">
        <f t="shared" si="16"/>
        <v>0</v>
      </c>
      <c r="Y155" s="113">
        <f t="shared" si="17"/>
        <v>0</v>
      </c>
      <c r="Z155" s="556">
        <f>(X155+X156)/2</f>
        <v>1</v>
      </c>
      <c r="AA155" s="558">
        <f>Z155/D155*100</f>
        <v>16.666666666666664</v>
      </c>
      <c r="AB155" s="254">
        <f>IF(Z155&lt;=D155,Z155,D155)</f>
        <v>1</v>
      </c>
      <c r="AC155" s="254">
        <f>IF(Z155&gt;D155,Z155-D155,0)</f>
        <v>0</v>
      </c>
      <c r="AD155" s="560">
        <v>3</v>
      </c>
      <c r="AE155" s="552">
        <v>0</v>
      </c>
    </row>
    <row r="156" spans="1:31" s="1" customFormat="1" x14ac:dyDescent="0.25">
      <c r="A156" s="559">
        <v>7.5714285714285801</v>
      </c>
      <c r="B156" s="615"/>
      <c r="C156" s="90" t="s">
        <v>238</v>
      </c>
      <c r="D156" s="91">
        <v>6</v>
      </c>
      <c r="E156" s="111"/>
      <c r="F156" s="111"/>
      <c r="G156" s="111"/>
      <c r="H156" s="111"/>
      <c r="I156" s="111"/>
      <c r="J156" s="111"/>
      <c r="K156" s="111"/>
      <c r="L156" s="111"/>
      <c r="M156" s="86">
        <f>SUMIF('Наставни ансамбл'!J378:J585,"Владимир Илић",'Наставни ансамбл'!G378:G585)</f>
        <v>2</v>
      </c>
      <c r="N156" s="140"/>
      <c r="O156" s="86"/>
      <c r="P156" s="86"/>
      <c r="Q156" s="86"/>
      <c r="R156" s="86"/>
      <c r="S156" s="86"/>
      <c r="T156" s="86"/>
      <c r="U156" s="86"/>
      <c r="V156" s="88">
        <f>SUMIF('Наставни ансамбл'!J378:J585,"Владимир Илић",'Наставни ансамбл'!H378:H585)</f>
        <v>0</v>
      </c>
      <c r="W156" s="111"/>
      <c r="X156" s="91">
        <f t="shared" si="16"/>
        <v>2</v>
      </c>
      <c r="Y156" s="93">
        <f t="shared" si="17"/>
        <v>33.333333333333329</v>
      </c>
      <c r="Z156" s="557"/>
      <c r="AA156" s="559"/>
      <c r="AB156" s="253"/>
      <c r="AC156" s="253"/>
      <c r="AD156" s="553"/>
      <c r="AE156" s="583"/>
    </row>
    <row r="157" spans="1:31" s="1" customFormat="1" x14ac:dyDescent="0.25">
      <c r="A157" s="624">
        <v>11</v>
      </c>
      <c r="B157" s="614" t="s">
        <v>536</v>
      </c>
      <c r="C157" s="83" t="s">
        <v>237</v>
      </c>
      <c r="D157" s="84">
        <v>6</v>
      </c>
      <c r="E157" s="142"/>
      <c r="F157" s="142"/>
      <c r="G157" s="142"/>
      <c r="H157" s="142"/>
      <c r="I157" s="142"/>
      <c r="J157" s="142"/>
      <c r="K157" s="142"/>
      <c r="L157" s="142"/>
      <c r="M157" s="86">
        <f>SUMIF('Наставни ансамбл'!J14:J220,"Срђан Попов",'Наставни ансамбл'!G14:G220)</f>
        <v>0</v>
      </c>
      <c r="N157" s="105"/>
      <c r="O157" s="112"/>
      <c r="P157" s="112"/>
      <c r="Q157" s="112"/>
      <c r="R157" s="112"/>
      <c r="S157" s="112"/>
      <c r="T157" s="112"/>
      <c r="U157" s="112"/>
      <c r="V157" s="107">
        <f>SUMIF('Наставни ансамбл'!J14:J220,"Срђан Попов",'Наставни ансамбл'!H14:H220)</f>
        <v>0</v>
      </c>
      <c r="W157" s="142"/>
      <c r="X157" s="130">
        <f t="shared" si="16"/>
        <v>0</v>
      </c>
      <c r="Y157" s="113">
        <f t="shared" si="17"/>
        <v>0</v>
      </c>
      <c r="Z157" s="556">
        <f>(X157+X158)/2</f>
        <v>1.9</v>
      </c>
      <c r="AA157" s="558">
        <f>Z157/D157*100</f>
        <v>31.666666666666664</v>
      </c>
      <c r="AB157" s="254">
        <f>IF(Z157&lt;=D157,Z157,D157)</f>
        <v>1.9</v>
      </c>
      <c r="AC157" s="254">
        <f>IF(Z157&gt;D157,Z157-D157,0)</f>
        <v>0</v>
      </c>
      <c r="AD157" s="560">
        <v>3</v>
      </c>
      <c r="AE157" s="552">
        <v>0</v>
      </c>
    </row>
    <row r="158" spans="1:31" s="1" customFormat="1" x14ac:dyDescent="0.25">
      <c r="A158" s="626">
        <v>8.1428571428571495</v>
      </c>
      <c r="B158" s="615"/>
      <c r="C158" s="90" t="s">
        <v>238</v>
      </c>
      <c r="D158" s="91">
        <v>6</v>
      </c>
      <c r="E158" s="111"/>
      <c r="F158" s="111"/>
      <c r="G158" s="111"/>
      <c r="H158" s="111"/>
      <c r="I158" s="111"/>
      <c r="J158" s="111"/>
      <c r="K158" s="111"/>
      <c r="L158" s="111"/>
      <c r="M158" s="86">
        <f>SUMIF('Наставни ансамбл'!J378:J585,"Срђан Попов",'Наставни ансамбл'!G378:G585)</f>
        <v>2</v>
      </c>
      <c r="N158" s="131"/>
      <c r="O158" s="86"/>
      <c r="P158" s="86"/>
      <c r="Q158" s="86"/>
      <c r="R158" s="86"/>
      <c r="S158" s="86"/>
      <c r="T158" s="86"/>
      <c r="U158" s="86"/>
      <c r="V158" s="88">
        <f>SUMIF('Наставни ансамбл'!J378:J585,"Срђан Попов",'Наставни ансамбл'!H378:H585)</f>
        <v>3</v>
      </c>
      <c r="W158" s="111"/>
      <c r="X158" s="91">
        <f t="shared" si="16"/>
        <v>3.8</v>
      </c>
      <c r="Y158" s="93">
        <f t="shared" si="17"/>
        <v>63.333333333333329</v>
      </c>
      <c r="Z158" s="557"/>
      <c r="AA158" s="559"/>
      <c r="AB158" s="253"/>
      <c r="AC158" s="253"/>
      <c r="AD158" s="553"/>
      <c r="AE158" s="583"/>
    </row>
    <row r="159" spans="1:31" s="1" customFormat="1" x14ac:dyDescent="0.25">
      <c r="A159" s="627">
        <v>12</v>
      </c>
      <c r="B159" s="628" t="s">
        <v>381</v>
      </c>
      <c r="C159" s="83" t="s">
        <v>237</v>
      </c>
      <c r="D159" s="84">
        <v>6</v>
      </c>
      <c r="E159" s="142"/>
      <c r="F159" s="142"/>
      <c r="G159" s="142"/>
      <c r="H159" s="142"/>
      <c r="I159" s="142"/>
      <c r="J159" s="142"/>
      <c r="K159" s="142"/>
      <c r="L159" s="142"/>
      <c r="M159" s="86">
        <f>SUMIF('Наставни ансамбл'!J14:J220,"Александра Новаковић",'Наставни ансамбл'!G14:G220)</f>
        <v>4</v>
      </c>
      <c r="N159" s="142"/>
      <c r="O159" s="112"/>
      <c r="P159" s="112"/>
      <c r="Q159" s="112"/>
      <c r="R159" s="112"/>
      <c r="S159" s="112"/>
      <c r="T159" s="112"/>
      <c r="U159" s="112"/>
      <c r="V159" s="107">
        <f>SUMIF('Наставни ансамбл'!J14:J220,"Александра Новаковић",'Наставни ансамбл'!H14:H220)</f>
        <v>2</v>
      </c>
      <c r="W159" s="142"/>
      <c r="X159" s="130">
        <f t="shared" si="16"/>
        <v>5.2</v>
      </c>
      <c r="Y159" s="113">
        <f t="shared" si="17"/>
        <v>86.666666666666671</v>
      </c>
      <c r="Z159" s="556">
        <f>(X159+X160)/2</f>
        <v>6.2</v>
      </c>
      <c r="AA159" s="558">
        <f>Z159/D159*100</f>
        <v>103.33333333333334</v>
      </c>
      <c r="AB159" s="254">
        <f>IF(Z159&lt;=D159,Z159,D159)</f>
        <v>6</v>
      </c>
      <c r="AC159" s="254">
        <f>IF(Z159&gt;D159,Z159-D159,0)</f>
        <v>0.20000000000000018</v>
      </c>
      <c r="AD159" s="560">
        <v>3</v>
      </c>
      <c r="AE159" s="552">
        <v>0</v>
      </c>
    </row>
    <row r="160" spans="1:31" s="1" customFormat="1" x14ac:dyDescent="0.25">
      <c r="A160" s="626"/>
      <c r="B160" s="629"/>
      <c r="C160" s="90" t="s">
        <v>238</v>
      </c>
      <c r="D160" s="91">
        <v>6</v>
      </c>
      <c r="E160" s="111"/>
      <c r="F160" s="111"/>
      <c r="G160" s="111"/>
      <c r="H160" s="111"/>
      <c r="I160" s="111"/>
      <c r="J160" s="111"/>
      <c r="K160" s="111"/>
      <c r="L160" s="111"/>
      <c r="M160" s="86">
        <f>SUMIF('Наставни ансамбл'!J378:J585,"Александра Новаковић",'Наставни ансамбл'!G378:G585)</f>
        <v>6</v>
      </c>
      <c r="N160" s="111"/>
      <c r="O160" s="112"/>
      <c r="P160" s="112"/>
      <c r="Q160" s="112"/>
      <c r="R160" s="112"/>
      <c r="S160" s="112"/>
      <c r="T160" s="112"/>
      <c r="U160" s="112"/>
      <c r="V160" s="107">
        <f>SUMIF('Наставни ансамбл'!J378:J585,"Александра Новаковић",'Наставни ансамбл'!H378:H585)</f>
        <v>2</v>
      </c>
      <c r="W160" s="111"/>
      <c r="X160" s="91">
        <f t="shared" si="16"/>
        <v>7.2</v>
      </c>
      <c r="Y160" s="93">
        <f t="shared" si="17"/>
        <v>120</v>
      </c>
      <c r="Z160" s="557"/>
      <c r="AA160" s="559"/>
      <c r="AB160" s="253"/>
      <c r="AC160" s="253"/>
      <c r="AD160" s="553"/>
      <c r="AE160" s="583"/>
    </row>
    <row r="161" spans="2:26" s="1" customFormat="1" x14ac:dyDescent="0.25">
      <c r="B161" s="605" t="s">
        <v>251</v>
      </c>
      <c r="C161" s="606" t="s">
        <v>237</v>
      </c>
      <c r="D161" s="606"/>
      <c r="E161" s="260"/>
      <c r="F161" s="260"/>
      <c r="G161" s="260"/>
      <c r="H161" s="260"/>
      <c r="I161" s="260"/>
      <c r="J161" s="260"/>
      <c r="K161" s="260"/>
      <c r="L161" s="260"/>
      <c r="M161" s="260">
        <f>SUM(M133,M135,M137,M143,M145,M147,M149,M151,M153,M155,M157,M159)</f>
        <v>26</v>
      </c>
      <c r="N161" s="257"/>
      <c r="O161" s="257"/>
      <c r="P161" s="257"/>
      <c r="Q161" s="257"/>
      <c r="R161" s="257"/>
      <c r="S161" s="257"/>
      <c r="T161" s="257"/>
      <c r="U161" s="257"/>
      <c r="V161" s="257">
        <f>SUM(V133,V135,V137,V143,V145,V147,V149,V151,V153,V155,V157,V159)</f>
        <v>4</v>
      </c>
      <c r="W161" s="257"/>
      <c r="X161" s="257">
        <f>SUM(X133,X135,X137,X143,X145,X147,X149,X151,X153,X155,X157,X159)</f>
        <v>28.4</v>
      </c>
      <c r="Y161" s="91"/>
      <c r="Z161" s="599">
        <f>SUM(Z133:Z160)</f>
        <v>27.7</v>
      </c>
    </row>
    <row r="162" spans="2:26" s="1" customFormat="1" x14ac:dyDescent="0.25">
      <c r="B162" s="605"/>
      <c r="C162" s="608" t="s">
        <v>238</v>
      </c>
      <c r="D162" s="608"/>
      <c r="E162" s="257"/>
      <c r="F162" s="257"/>
      <c r="G162" s="257"/>
      <c r="H162" s="257"/>
      <c r="I162" s="257"/>
      <c r="J162" s="257"/>
      <c r="K162" s="257"/>
      <c r="L162" s="257"/>
      <c r="M162" s="257">
        <f>SUM(M134,M136,M138,M144,M146,M148,M150,M152,M154,M156,M158,M160)</f>
        <v>20</v>
      </c>
      <c r="N162" s="257"/>
      <c r="O162" s="257"/>
      <c r="P162" s="257"/>
      <c r="Q162" s="257"/>
      <c r="R162" s="257"/>
      <c r="S162" s="257"/>
      <c r="T162" s="257"/>
      <c r="U162" s="257"/>
      <c r="V162" s="257">
        <f>SUM(V134,V136,V138,V144,V146,V148,V150,V152,V154,V156,V158,V160)</f>
        <v>5</v>
      </c>
      <c r="W162" s="257"/>
      <c r="X162" s="257">
        <f>SUM(X134,X136,X138,X144,X146,X148,X150,X152,X154,X156,X158,X160)</f>
        <v>23</v>
      </c>
      <c r="Y162" s="91"/>
      <c r="Z162" s="632"/>
    </row>
  </sheetData>
  <mergeCells count="570">
    <mergeCell ref="B161:B162"/>
    <mergeCell ref="C161:D161"/>
    <mergeCell ref="Z161:Z162"/>
    <mergeCell ref="C162:D162"/>
    <mergeCell ref="A159:A160"/>
    <mergeCell ref="B159:B160"/>
    <mergeCell ref="Z159:Z160"/>
    <mergeCell ref="AA159:AA160"/>
    <mergeCell ref="AD159:AD160"/>
    <mergeCell ref="AE159:AE160"/>
    <mergeCell ref="A157:A158"/>
    <mergeCell ref="B157:B158"/>
    <mergeCell ref="Z157:Z158"/>
    <mergeCell ref="AA157:AA158"/>
    <mergeCell ref="AD157:AD158"/>
    <mergeCell ref="AE157:AE158"/>
    <mergeCell ref="A155:A156"/>
    <mergeCell ref="B155:B156"/>
    <mergeCell ref="Z155:Z156"/>
    <mergeCell ref="AA155:AA156"/>
    <mergeCell ref="AD155:AD156"/>
    <mergeCell ref="AE155:AE156"/>
    <mergeCell ref="A153:A154"/>
    <mergeCell ref="B153:B154"/>
    <mergeCell ref="Z153:Z154"/>
    <mergeCell ref="AA153:AA154"/>
    <mergeCell ref="AD153:AD154"/>
    <mergeCell ref="AE153:AE154"/>
    <mergeCell ref="A151:A152"/>
    <mergeCell ref="B151:B152"/>
    <mergeCell ref="Z151:Z152"/>
    <mergeCell ref="AA151:AA152"/>
    <mergeCell ref="AD151:AD152"/>
    <mergeCell ref="AE151:AE152"/>
    <mergeCell ref="A149:A150"/>
    <mergeCell ref="B149:B150"/>
    <mergeCell ref="Z149:Z150"/>
    <mergeCell ref="AA149:AA150"/>
    <mergeCell ref="AD149:AD150"/>
    <mergeCell ref="AE149:AE150"/>
    <mergeCell ref="A147:A148"/>
    <mergeCell ref="B147:B148"/>
    <mergeCell ref="Z147:Z148"/>
    <mergeCell ref="AA147:AA148"/>
    <mergeCell ref="AD147:AD148"/>
    <mergeCell ref="AE147:AE148"/>
    <mergeCell ref="AD143:AD144"/>
    <mergeCell ref="AE143:AE144"/>
    <mergeCell ref="A145:A146"/>
    <mergeCell ref="B145:B146"/>
    <mergeCell ref="Z145:Z146"/>
    <mergeCell ref="AA145:AA146"/>
    <mergeCell ref="AB145:AB146"/>
    <mergeCell ref="AC145:AC146"/>
    <mergeCell ref="AD145:AD146"/>
    <mergeCell ref="AE145:AE146"/>
    <mergeCell ref="A143:A144"/>
    <mergeCell ref="B143:B144"/>
    <mergeCell ref="Z143:Z144"/>
    <mergeCell ref="AA143:AA144"/>
    <mergeCell ref="AB143:AB144"/>
    <mergeCell ref="AC143:AC144"/>
    <mergeCell ref="AD139:AD140"/>
    <mergeCell ref="AE139:AE140"/>
    <mergeCell ref="A141:A142"/>
    <mergeCell ref="B141:B142"/>
    <mergeCell ref="Z141:Z142"/>
    <mergeCell ref="AA141:AA142"/>
    <mergeCell ref="AB141:AB142"/>
    <mergeCell ref="AC141:AC142"/>
    <mergeCell ref="AD141:AD142"/>
    <mergeCell ref="AE141:AE142"/>
    <mergeCell ref="A139:A140"/>
    <mergeCell ref="B139:B140"/>
    <mergeCell ref="Z139:Z140"/>
    <mergeCell ref="AA139:AA140"/>
    <mergeCell ref="AB139:AB140"/>
    <mergeCell ref="AC139:AC140"/>
    <mergeCell ref="AD135:AD136"/>
    <mergeCell ref="AE135:AE136"/>
    <mergeCell ref="A137:A138"/>
    <mergeCell ref="B137:B138"/>
    <mergeCell ref="Z137:Z138"/>
    <mergeCell ref="AA137:AA138"/>
    <mergeCell ref="AB137:AB138"/>
    <mergeCell ref="AC137:AC138"/>
    <mergeCell ref="AD137:AD138"/>
    <mergeCell ref="AE137:AE138"/>
    <mergeCell ref="A135:A136"/>
    <mergeCell ref="B135:B136"/>
    <mergeCell ref="Z135:Z136"/>
    <mergeCell ref="AA135:AA136"/>
    <mergeCell ref="AB135:AB136"/>
    <mergeCell ref="AC135:AC136"/>
    <mergeCell ref="A130:A131"/>
    <mergeCell ref="B130:B131"/>
    <mergeCell ref="C130:C131"/>
    <mergeCell ref="D130:D131"/>
    <mergeCell ref="N130:N131"/>
    <mergeCell ref="W130:W131"/>
    <mergeCell ref="AD130:AE130"/>
    <mergeCell ref="A133:A134"/>
    <mergeCell ref="B133:B134"/>
    <mergeCell ref="Z133:Z134"/>
    <mergeCell ref="AA133:AA134"/>
    <mergeCell ref="AB133:AB134"/>
    <mergeCell ref="AC133:AC134"/>
    <mergeCell ref="AD133:AD134"/>
    <mergeCell ref="AE133:AE134"/>
    <mergeCell ref="X130:X131"/>
    <mergeCell ref="Y130:Y131"/>
    <mergeCell ref="Z130:Z131"/>
    <mergeCell ref="AA130:AA131"/>
    <mergeCell ref="AB130:AB131"/>
    <mergeCell ref="AC130:AC131"/>
    <mergeCell ref="A119:A120"/>
    <mergeCell ref="B119:B120"/>
    <mergeCell ref="Z119:Z120"/>
    <mergeCell ref="AA119:AA120"/>
    <mergeCell ref="AB119:AB120"/>
    <mergeCell ref="AC119:AC120"/>
    <mergeCell ref="B125:B126"/>
    <mergeCell ref="C125:D125"/>
    <mergeCell ref="Z125:Z126"/>
    <mergeCell ref="C126:D126"/>
    <mergeCell ref="A117:A118"/>
    <mergeCell ref="B117:B118"/>
    <mergeCell ref="Z117:Z118"/>
    <mergeCell ref="AA117:AA118"/>
    <mergeCell ref="AB117:AB118"/>
    <mergeCell ref="AC117:AC118"/>
    <mergeCell ref="AD117:AD118"/>
    <mergeCell ref="AE117:AE118"/>
    <mergeCell ref="A123:A124"/>
    <mergeCell ref="B123:B124"/>
    <mergeCell ref="Z123:Z124"/>
    <mergeCell ref="AA123:AA124"/>
    <mergeCell ref="AD123:AD124"/>
    <mergeCell ref="AE123:AE124"/>
    <mergeCell ref="AD119:AD120"/>
    <mergeCell ref="AE119:AE120"/>
    <mergeCell ref="A121:A122"/>
    <mergeCell ref="B121:B122"/>
    <mergeCell ref="Z121:Z122"/>
    <mergeCell ref="AA121:AA122"/>
    <mergeCell ref="AB121:AB122"/>
    <mergeCell ref="AC121:AC122"/>
    <mergeCell ref="AD121:AD122"/>
    <mergeCell ref="AE121:AE122"/>
    <mergeCell ref="AC112:AC113"/>
    <mergeCell ref="AD112:AE112"/>
    <mergeCell ref="A115:A116"/>
    <mergeCell ref="B115:B116"/>
    <mergeCell ref="Z115:Z116"/>
    <mergeCell ref="AA115:AA116"/>
    <mergeCell ref="AB115:AB116"/>
    <mergeCell ref="AC115:AC116"/>
    <mergeCell ref="AD115:AD116"/>
    <mergeCell ref="N112:N113"/>
    <mergeCell ref="W112:W113"/>
    <mergeCell ref="X112:X113"/>
    <mergeCell ref="Y112:Y113"/>
    <mergeCell ref="Z112:Z113"/>
    <mergeCell ref="AA112:AA113"/>
    <mergeCell ref="AE115:AE116"/>
    <mergeCell ref="B107:B108"/>
    <mergeCell ref="C107:D107"/>
    <mergeCell ref="C108:D108"/>
    <mergeCell ref="A112:A113"/>
    <mergeCell ref="B112:B113"/>
    <mergeCell ref="C112:C113"/>
    <mergeCell ref="D112:D113"/>
    <mergeCell ref="AD103:AD104"/>
    <mergeCell ref="AE103:AE104"/>
    <mergeCell ref="A105:A106"/>
    <mergeCell ref="B105:B106"/>
    <mergeCell ref="Z105:Z106"/>
    <mergeCell ref="AA105:AA106"/>
    <mergeCell ref="AB105:AB106"/>
    <mergeCell ref="AC105:AC106"/>
    <mergeCell ref="AD105:AD106"/>
    <mergeCell ref="AE105:AE106"/>
    <mergeCell ref="A103:A104"/>
    <mergeCell ref="B103:B104"/>
    <mergeCell ref="Z103:Z104"/>
    <mergeCell ref="AA103:AA104"/>
    <mergeCell ref="AB103:AB104"/>
    <mergeCell ref="AC103:AC104"/>
    <mergeCell ref="AB112:AB113"/>
    <mergeCell ref="AD99:AD100"/>
    <mergeCell ref="AE99:AE100"/>
    <mergeCell ref="A101:A102"/>
    <mergeCell ref="B101:B102"/>
    <mergeCell ref="Z101:Z102"/>
    <mergeCell ref="AA101:AA102"/>
    <mergeCell ref="AB101:AB102"/>
    <mergeCell ref="AC101:AC102"/>
    <mergeCell ref="AD101:AD102"/>
    <mergeCell ref="AE101:AE102"/>
    <mergeCell ref="A99:A100"/>
    <mergeCell ref="B99:B100"/>
    <mergeCell ref="Z99:Z100"/>
    <mergeCell ref="AA99:AA100"/>
    <mergeCell ref="AB99:AB100"/>
    <mergeCell ref="AC99:AC100"/>
    <mergeCell ref="AD95:AD96"/>
    <mergeCell ref="AE95:AE96"/>
    <mergeCell ref="A97:A98"/>
    <mergeCell ref="B97:B98"/>
    <mergeCell ref="Z97:Z98"/>
    <mergeCell ref="AA97:AA98"/>
    <mergeCell ref="AB97:AB98"/>
    <mergeCell ref="AC97:AC98"/>
    <mergeCell ref="AD97:AD98"/>
    <mergeCell ref="AE97:AE98"/>
    <mergeCell ref="A95:A96"/>
    <mergeCell ref="B95:B96"/>
    <mergeCell ref="Z95:Z96"/>
    <mergeCell ref="AA95:AA96"/>
    <mergeCell ref="AB95:AB96"/>
    <mergeCell ref="AC95:AC96"/>
    <mergeCell ref="AD91:AD92"/>
    <mergeCell ref="AE91:AE92"/>
    <mergeCell ref="A93:A94"/>
    <mergeCell ref="B93:B94"/>
    <mergeCell ref="Z93:Z94"/>
    <mergeCell ref="AA93:AA94"/>
    <mergeCell ref="AB93:AB94"/>
    <mergeCell ref="AC93:AC94"/>
    <mergeCell ref="AD93:AD94"/>
    <mergeCell ref="AE93:AE94"/>
    <mergeCell ref="A91:A92"/>
    <mergeCell ref="B91:B92"/>
    <mergeCell ref="Z91:Z92"/>
    <mergeCell ref="AA91:AA92"/>
    <mergeCell ref="AB91:AB92"/>
    <mergeCell ref="AC91:AC92"/>
    <mergeCell ref="AD87:AD88"/>
    <mergeCell ref="AE87:AE88"/>
    <mergeCell ref="A89:A90"/>
    <mergeCell ref="B89:B90"/>
    <mergeCell ref="Z89:Z90"/>
    <mergeCell ref="AA89:AA90"/>
    <mergeCell ref="AB89:AB90"/>
    <mergeCell ref="AC89:AC90"/>
    <mergeCell ref="AD89:AD90"/>
    <mergeCell ref="AE89:AE90"/>
    <mergeCell ref="A87:A88"/>
    <mergeCell ref="B87:B88"/>
    <mergeCell ref="Z87:Z88"/>
    <mergeCell ref="AA87:AA88"/>
    <mergeCell ref="AB87:AB88"/>
    <mergeCell ref="AC87:AC88"/>
    <mergeCell ref="AD83:AD84"/>
    <mergeCell ref="AE83:AE84"/>
    <mergeCell ref="A85:A86"/>
    <mergeCell ref="B85:B86"/>
    <mergeCell ref="Z85:Z86"/>
    <mergeCell ref="AA85:AA86"/>
    <mergeCell ref="AB85:AB86"/>
    <mergeCell ref="AC85:AC86"/>
    <mergeCell ref="AD85:AD86"/>
    <mergeCell ref="AE85:AE86"/>
    <mergeCell ref="A83:A84"/>
    <mergeCell ref="B83:B84"/>
    <mergeCell ref="Z83:Z84"/>
    <mergeCell ref="AA83:AA84"/>
    <mergeCell ref="AB83:AB84"/>
    <mergeCell ref="AC83:AC84"/>
    <mergeCell ref="AD79:AD80"/>
    <mergeCell ref="AE79:AE80"/>
    <mergeCell ref="A81:A82"/>
    <mergeCell ref="B81:B82"/>
    <mergeCell ref="Z81:Z82"/>
    <mergeCell ref="AA81:AA82"/>
    <mergeCell ref="AB81:AB82"/>
    <mergeCell ref="AC81:AC82"/>
    <mergeCell ref="AD81:AD82"/>
    <mergeCell ref="AE81:AE82"/>
    <mergeCell ref="A79:A80"/>
    <mergeCell ref="B79:B80"/>
    <mergeCell ref="Z79:Z80"/>
    <mergeCell ref="AA79:AA80"/>
    <mergeCell ref="AB79:AB80"/>
    <mergeCell ref="AC79:AC80"/>
    <mergeCell ref="AD75:AD76"/>
    <mergeCell ref="AE75:AE76"/>
    <mergeCell ref="A77:A78"/>
    <mergeCell ref="B77:B78"/>
    <mergeCell ref="Z77:Z78"/>
    <mergeCell ref="AA77:AA78"/>
    <mergeCell ref="AB77:AB78"/>
    <mergeCell ref="AC77:AC78"/>
    <mergeCell ref="AD77:AD78"/>
    <mergeCell ref="AE77:AE78"/>
    <mergeCell ref="A75:A76"/>
    <mergeCell ref="B75:B76"/>
    <mergeCell ref="Z75:Z76"/>
    <mergeCell ref="AA75:AA76"/>
    <mergeCell ref="AB75:AB76"/>
    <mergeCell ref="AC75:AC76"/>
    <mergeCell ref="AD70:AE70"/>
    <mergeCell ref="A73:A74"/>
    <mergeCell ref="B73:B74"/>
    <mergeCell ref="Z73:Z74"/>
    <mergeCell ref="AA73:AA74"/>
    <mergeCell ref="AB73:AB74"/>
    <mergeCell ref="AC73:AC74"/>
    <mergeCell ref="AD73:AD74"/>
    <mergeCell ref="AE73:AE74"/>
    <mergeCell ref="X70:X71"/>
    <mergeCell ref="Y70:Y71"/>
    <mergeCell ref="Z70:Z71"/>
    <mergeCell ref="AA70:AA71"/>
    <mergeCell ref="AB70:AB71"/>
    <mergeCell ref="AC70:AC71"/>
    <mergeCell ref="A70:A71"/>
    <mergeCell ref="B70:B71"/>
    <mergeCell ref="C70:C71"/>
    <mergeCell ref="D70:D71"/>
    <mergeCell ref="N70:N71"/>
    <mergeCell ref="W70:W71"/>
    <mergeCell ref="AE63:AE64"/>
    <mergeCell ref="C64:D64"/>
    <mergeCell ref="B65:B66"/>
    <mergeCell ref="C65:D65"/>
    <mergeCell ref="Z65:Z66"/>
    <mergeCell ref="AB65:AB66"/>
    <mergeCell ref="AC65:AC66"/>
    <mergeCell ref="AD65:AD66"/>
    <mergeCell ref="AE65:AE66"/>
    <mergeCell ref="C66:D66"/>
    <mergeCell ref="B63:B64"/>
    <mergeCell ref="C63:D63"/>
    <mergeCell ref="Z63:Z64"/>
    <mergeCell ref="AB63:AB64"/>
    <mergeCell ref="AC63:AC64"/>
    <mergeCell ref="AD63:AD64"/>
    <mergeCell ref="AD59:AD60"/>
    <mergeCell ref="AE59:AE60"/>
    <mergeCell ref="A61:A62"/>
    <mergeCell ref="B61:B62"/>
    <mergeCell ref="Z61:Z62"/>
    <mergeCell ref="AA61:AA62"/>
    <mergeCell ref="AB61:AB62"/>
    <mergeCell ref="AC61:AC62"/>
    <mergeCell ref="AD61:AD62"/>
    <mergeCell ref="AE61:AE62"/>
    <mergeCell ref="A59:A60"/>
    <mergeCell ref="B59:B60"/>
    <mergeCell ref="Z59:Z60"/>
    <mergeCell ref="AA59:AA60"/>
    <mergeCell ref="AB59:AB60"/>
    <mergeCell ref="AC59:AC60"/>
    <mergeCell ref="A57:A58"/>
    <mergeCell ref="B57:B58"/>
    <mergeCell ref="Z57:Z58"/>
    <mergeCell ref="AA57:AA58"/>
    <mergeCell ref="AB57:AB58"/>
    <mergeCell ref="AC57:AC58"/>
    <mergeCell ref="AD57:AD58"/>
    <mergeCell ref="AE57:AE58"/>
    <mergeCell ref="A55:A56"/>
    <mergeCell ref="B55:B56"/>
    <mergeCell ref="Z55:Z56"/>
    <mergeCell ref="AA55:AA56"/>
    <mergeCell ref="AB55:AB56"/>
    <mergeCell ref="AC55:AC56"/>
    <mergeCell ref="A53:A54"/>
    <mergeCell ref="B53:B54"/>
    <mergeCell ref="Z53:Z54"/>
    <mergeCell ref="AA53:AA54"/>
    <mergeCell ref="AB53:AB54"/>
    <mergeCell ref="AC53:AC54"/>
    <mergeCell ref="AD53:AD54"/>
    <mergeCell ref="AE53:AE54"/>
    <mergeCell ref="AD55:AD56"/>
    <mergeCell ref="AE55:AE56"/>
    <mergeCell ref="AE47:AE48"/>
    <mergeCell ref="C48:D48"/>
    <mergeCell ref="A50:B50"/>
    <mergeCell ref="A51:A52"/>
    <mergeCell ref="B51:B52"/>
    <mergeCell ref="Z51:Z52"/>
    <mergeCell ref="AA51:AA52"/>
    <mergeCell ref="AB51:AB52"/>
    <mergeCell ref="AC51:AC52"/>
    <mergeCell ref="AD51:AD52"/>
    <mergeCell ref="B47:B48"/>
    <mergeCell ref="C47:D47"/>
    <mergeCell ref="Z47:Z48"/>
    <mergeCell ref="AB47:AB48"/>
    <mergeCell ref="AC47:AC48"/>
    <mergeCell ref="AD47:AD48"/>
    <mergeCell ref="AE51:AE52"/>
    <mergeCell ref="AD43:AD44"/>
    <mergeCell ref="AE43:AE44"/>
    <mergeCell ref="A45:A46"/>
    <mergeCell ref="B45:B46"/>
    <mergeCell ref="Z45:Z46"/>
    <mergeCell ref="AA45:AA46"/>
    <mergeCell ref="AB45:AB46"/>
    <mergeCell ref="AC45:AC46"/>
    <mergeCell ref="AD45:AD46"/>
    <mergeCell ref="AE45:AE46"/>
    <mergeCell ref="A43:A44"/>
    <mergeCell ref="B43:B44"/>
    <mergeCell ref="Z43:Z44"/>
    <mergeCell ref="AA43:AA44"/>
    <mergeCell ref="AB43:AB44"/>
    <mergeCell ref="AC43:AC44"/>
    <mergeCell ref="AD39:AD40"/>
    <mergeCell ref="AE39:AE40"/>
    <mergeCell ref="A41:A42"/>
    <mergeCell ref="B41:B42"/>
    <mergeCell ref="Z41:Z42"/>
    <mergeCell ref="AA41:AA42"/>
    <mergeCell ref="AB41:AB42"/>
    <mergeCell ref="AC41:AC42"/>
    <mergeCell ref="AD41:AD42"/>
    <mergeCell ref="AE41:AE42"/>
    <mergeCell ref="A39:A40"/>
    <mergeCell ref="B39:B40"/>
    <mergeCell ref="Z39:Z40"/>
    <mergeCell ref="AA39:AA40"/>
    <mergeCell ref="AB39:AB40"/>
    <mergeCell ref="AC39:AC40"/>
    <mergeCell ref="AD35:AD36"/>
    <mergeCell ref="AE35:AE36"/>
    <mergeCell ref="A37:A38"/>
    <mergeCell ref="B37:B38"/>
    <mergeCell ref="Z37:Z38"/>
    <mergeCell ref="AA37:AA38"/>
    <mergeCell ref="AB37:AB38"/>
    <mergeCell ref="AC37:AC38"/>
    <mergeCell ref="AD37:AD38"/>
    <mergeCell ref="AE37:AE38"/>
    <mergeCell ref="A35:A36"/>
    <mergeCell ref="B35:B36"/>
    <mergeCell ref="Z35:Z36"/>
    <mergeCell ref="AA35:AA36"/>
    <mergeCell ref="AB35:AB36"/>
    <mergeCell ref="AC35:AC36"/>
    <mergeCell ref="AD31:AD32"/>
    <mergeCell ref="AE31:AE32"/>
    <mergeCell ref="A33:A34"/>
    <mergeCell ref="B33:B34"/>
    <mergeCell ref="Z33:Z34"/>
    <mergeCell ref="AA33:AA34"/>
    <mergeCell ref="AB33:AB34"/>
    <mergeCell ref="AC33:AC34"/>
    <mergeCell ref="AD33:AD34"/>
    <mergeCell ref="AE33:AE34"/>
    <mergeCell ref="A31:A32"/>
    <mergeCell ref="B31:B32"/>
    <mergeCell ref="Z31:Z32"/>
    <mergeCell ref="AA31:AA32"/>
    <mergeCell ref="AB31:AB32"/>
    <mergeCell ref="AC31:AC32"/>
    <mergeCell ref="AD27:AD28"/>
    <mergeCell ref="AE27:AE28"/>
    <mergeCell ref="A29:A30"/>
    <mergeCell ref="B29:B30"/>
    <mergeCell ref="Z29:Z30"/>
    <mergeCell ref="AA29:AA30"/>
    <mergeCell ref="AB29:AB30"/>
    <mergeCell ref="AC29:AC30"/>
    <mergeCell ref="AD29:AD30"/>
    <mergeCell ref="AE29:AE30"/>
    <mergeCell ref="A27:A28"/>
    <mergeCell ref="B27:B28"/>
    <mergeCell ref="Z27:Z28"/>
    <mergeCell ref="AA27:AA28"/>
    <mergeCell ref="AB27:AB28"/>
    <mergeCell ref="AC27:AC28"/>
    <mergeCell ref="AD23:AD24"/>
    <mergeCell ref="AE23:AE24"/>
    <mergeCell ref="A25:A26"/>
    <mergeCell ref="B25:B26"/>
    <mergeCell ref="Z25:Z26"/>
    <mergeCell ref="AA25:AA26"/>
    <mergeCell ref="AB25:AB26"/>
    <mergeCell ref="AC25:AC26"/>
    <mergeCell ref="AD25:AD26"/>
    <mergeCell ref="AE25:AE26"/>
    <mergeCell ref="A23:A24"/>
    <mergeCell ref="B23:B24"/>
    <mergeCell ref="Z23:Z24"/>
    <mergeCell ref="AA23:AA24"/>
    <mergeCell ref="AB23:AB24"/>
    <mergeCell ref="AC23:AC24"/>
    <mergeCell ref="AD19:AD20"/>
    <mergeCell ref="AE19:AE20"/>
    <mergeCell ref="A21:A22"/>
    <mergeCell ref="B21:B22"/>
    <mergeCell ref="Z21:Z22"/>
    <mergeCell ref="AA21:AA22"/>
    <mergeCell ref="AB21:AB22"/>
    <mergeCell ref="AC21:AC22"/>
    <mergeCell ref="AD21:AD22"/>
    <mergeCell ref="AE21:AE22"/>
    <mergeCell ref="A19:A20"/>
    <mergeCell ref="B19:B20"/>
    <mergeCell ref="Z19:Z20"/>
    <mergeCell ref="AA19:AA20"/>
    <mergeCell ref="AB19:AB20"/>
    <mergeCell ref="AC19:AC20"/>
    <mergeCell ref="AD15:AD16"/>
    <mergeCell ref="AE15:AE16"/>
    <mergeCell ref="A17:A18"/>
    <mergeCell ref="B17:B18"/>
    <mergeCell ref="Z17:Z18"/>
    <mergeCell ref="AA17:AA18"/>
    <mergeCell ref="AB17:AB18"/>
    <mergeCell ref="AC17:AC18"/>
    <mergeCell ref="AD17:AD18"/>
    <mergeCell ref="AE17:AE18"/>
    <mergeCell ref="A15:A16"/>
    <mergeCell ref="B15:B16"/>
    <mergeCell ref="Z15:Z16"/>
    <mergeCell ref="AA15:AA16"/>
    <mergeCell ref="AB15:AB16"/>
    <mergeCell ref="AC15:AC16"/>
    <mergeCell ref="A13:A14"/>
    <mergeCell ref="B13:B14"/>
    <mergeCell ref="Z13:Z14"/>
    <mergeCell ref="AA13:AA14"/>
    <mergeCell ref="AB13:AB14"/>
    <mergeCell ref="AC13:AC14"/>
    <mergeCell ref="AD13:AD14"/>
    <mergeCell ref="AE13:AE14"/>
    <mergeCell ref="A11:A12"/>
    <mergeCell ref="B11:B12"/>
    <mergeCell ref="Z11:Z12"/>
    <mergeCell ref="AA11:AA12"/>
    <mergeCell ref="AB11:AB12"/>
    <mergeCell ref="AC11:AC12"/>
    <mergeCell ref="A9:A10"/>
    <mergeCell ref="B9:B10"/>
    <mergeCell ref="Z9:Z10"/>
    <mergeCell ref="AA9:AA10"/>
    <mergeCell ref="AB9:AB10"/>
    <mergeCell ref="AC9:AC10"/>
    <mergeCell ref="AD9:AD10"/>
    <mergeCell ref="AE9:AE10"/>
    <mergeCell ref="AD11:AD12"/>
    <mergeCell ref="AE11:AE12"/>
    <mergeCell ref="AB4:AB5"/>
    <mergeCell ref="AC4:AC5"/>
    <mergeCell ref="AD4:AE4"/>
    <mergeCell ref="A7:A8"/>
    <mergeCell ref="B7:B8"/>
    <mergeCell ref="Z7:Z8"/>
    <mergeCell ref="AA7:AA8"/>
    <mergeCell ref="AB7:AB8"/>
    <mergeCell ref="AC7:AC8"/>
    <mergeCell ref="AD7:AD8"/>
    <mergeCell ref="O4:U4"/>
    <mergeCell ref="W4:W5"/>
    <mergeCell ref="X4:X5"/>
    <mergeCell ref="Y4:Y5"/>
    <mergeCell ref="Z4:Z5"/>
    <mergeCell ref="AA4:AA5"/>
    <mergeCell ref="A4:A5"/>
    <mergeCell ref="B4:B5"/>
    <mergeCell ref="C4:C5"/>
    <mergeCell ref="D4:D5"/>
    <mergeCell ref="E4:L4"/>
    <mergeCell ref="N4:N5"/>
    <mergeCell ref="AE7:AE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8"/>
  <sheetViews>
    <sheetView topLeftCell="A13" workbookViewId="0">
      <selection activeCell="Z7" sqref="Z7:Z8"/>
    </sheetView>
  </sheetViews>
  <sheetFormatPr defaultColWidth="9.5703125" defaultRowHeight="15" x14ac:dyDescent="0.25"/>
  <cols>
    <col min="2" max="2" width="27.140625" bestFit="1" customWidth="1"/>
    <col min="4" max="4" width="9.85546875" customWidth="1"/>
    <col min="5" max="5" width="2.85546875" customWidth="1"/>
    <col min="6" max="6" width="4.85546875" customWidth="1"/>
    <col min="7" max="12" width="2.85546875" customWidth="1"/>
    <col min="15" max="21" width="0" hidden="1" customWidth="1"/>
  </cols>
  <sheetData>
    <row r="1" spans="1:31" s="1" customFormat="1" ht="18.75" x14ac:dyDescent="0.3">
      <c r="A1" s="194" t="s">
        <v>211</v>
      </c>
      <c r="B1" s="193"/>
      <c r="C1" s="193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X1" s="77"/>
      <c r="Y1" s="77"/>
    </row>
    <row r="2" spans="1:31" s="1" customFormat="1" ht="7.5" customHeight="1" x14ac:dyDescent="0.3">
      <c r="A2" s="194"/>
      <c r="B2" s="193"/>
      <c r="C2" s="193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X2" s="77"/>
      <c r="Y2" s="77"/>
    </row>
    <row r="3" spans="1:31" s="1" customFormat="1" ht="18.75" x14ac:dyDescent="0.3">
      <c r="A3" s="193" t="s">
        <v>212</v>
      </c>
      <c r="B3" s="193"/>
      <c r="C3" s="193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X3" s="77"/>
      <c r="Y3" s="77"/>
    </row>
    <row r="4" spans="1:31" s="1" customFormat="1" ht="12.75" customHeight="1" x14ac:dyDescent="0.25">
      <c r="A4" s="570" t="s">
        <v>213</v>
      </c>
      <c r="B4" s="570" t="s">
        <v>214</v>
      </c>
      <c r="C4" s="571" t="s">
        <v>215</v>
      </c>
      <c r="D4" s="573" t="s">
        <v>216</v>
      </c>
      <c r="E4" s="574" t="s">
        <v>217</v>
      </c>
      <c r="F4" s="575"/>
      <c r="G4" s="575"/>
      <c r="H4" s="575"/>
      <c r="I4" s="576"/>
      <c r="J4" s="576"/>
      <c r="K4" s="576"/>
      <c r="L4" s="577"/>
      <c r="M4" s="258" t="s">
        <v>218</v>
      </c>
      <c r="N4" s="548" t="s">
        <v>219</v>
      </c>
      <c r="O4" s="561" t="s">
        <v>220</v>
      </c>
      <c r="P4" s="562"/>
      <c r="Q4" s="562"/>
      <c r="R4" s="562"/>
      <c r="S4" s="562"/>
      <c r="T4" s="562"/>
      <c r="U4" s="563"/>
      <c r="V4" s="258" t="s">
        <v>218</v>
      </c>
      <c r="W4" s="548" t="s">
        <v>221</v>
      </c>
      <c r="X4" s="564" t="s">
        <v>222</v>
      </c>
      <c r="Y4" s="566" t="s">
        <v>223</v>
      </c>
      <c r="Z4" s="568" t="s">
        <v>224</v>
      </c>
      <c r="AA4" s="566" t="s">
        <v>223</v>
      </c>
      <c r="AB4" s="548" t="s">
        <v>225</v>
      </c>
      <c r="AC4" s="548" t="s">
        <v>226</v>
      </c>
      <c r="AD4" s="550" t="s">
        <v>227</v>
      </c>
      <c r="AE4" s="551"/>
    </row>
    <row r="5" spans="1:31" s="1" customFormat="1" ht="165.75" x14ac:dyDescent="0.25">
      <c r="A5" s="570"/>
      <c r="B5" s="570"/>
      <c r="C5" s="572"/>
      <c r="D5" s="573"/>
      <c r="E5" s="258" t="s">
        <v>228</v>
      </c>
      <c r="F5" s="258" t="s">
        <v>234</v>
      </c>
      <c r="G5" s="255" t="s">
        <v>283</v>
      </c>
      <c r="H5" s="255" t="s">
        <v>398</v>
      </c>
      <c r="I5" s="255" t="s">
        <v>376</v>
      </c>
      <c r="J5" s="255" t="s">
        <v>375</v>
      </c>
      <c r="K5" s="258" t="s">
        <v>230</v>
      </c>
      <c r="L5" s="258" t="s">
        <v>231</v>
      </c>
      <c r="M5" s="259" t="s">
        <v>17</v>
      </c>
      <c r="N5" s="549"/>
      <c r="O5" s="258" t="s">
        <v>229</v>
      </c>
      <c r="P5" s="258" t="s">
        <v>232</v>
      </c>
      <c r="Q5" s="258" t="s">
        <v>228</v>
      </c>
      <c r="R5" s="258" t="s">
        <v>233</v>
      </c>
      <c r="S5" s="258" t="s">
        <v>234</v>
      </c>
      <c r="T5" s="258" t="s">
        <v>231</v>
      </c>
      <c r="U5" s="258" t="s">
        <v>230</v>
      </c>
      <c r="V5" s="259" t="s">
        <v>18</v>
      </c>
      <c r="W5" s="549"/>
      <c r="X5" s="565"/>
      <c r="Y5" s="567"/>
      <c r="Z5" s="569"/>
      <c r="AA5" s="567"/>
      <c r="AB5" s="549"/>
      <c r="AC5" s="549"/>
      <c r="AD5" s="78" t="s">
        <v>235</v>
      </c>
      <c r="AE5" s="78" t="s">
        <v>236</v>
      </c>
    </row>
    <row r="6" spans="1:31" s="1" customFormat="1" x14ac:dyDescent="0.25">
      <c r="A6" s="79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2"/>
      <c r="AE6" s="82"/>
    </row>
    <row r="7" spans="1:31" s="1" customFormat="1" x14ac:dyDescent="0.25">
      <c r="A7" s="552">
        <v>1</v>
      </c>
      <c r="B7" s="554" t="s">
        <v>243</v>
      </c>
      <c r="C7" s="83" t="s">
        <v>237</v>
      </c>
      <c r="D7" s="84">
        <v>3</v>
      </c>
      <c r="E7" s="85"/>
      <c r="F7" s="85"/>
      <c r="G7" s="85"/>
      <c r="H7" s="85"/>
      <c r="I7" s="118"/>
      <c r="J7" s="85"/>
      <c r="K7" s="85"/>
      <c r="L7" s="85"/>
      <c r="M7" s="86">
        <f>SUMIF('Наставни ансамбл'!J14:J220,"Далибор Стевић",'Наставни ансамбл'!R14:R220)</f>
        <v>8</v>
      </c>
      <c r="N7" s="87">
        <f>SUM(E7:M7)</f>
        <v>8</v>
      </c>
      <c r="O7" s="85"/>
      <c r="P7" s="85"/>
      <c r="Q7" s="85"/>
      <c r="R7" s="85"/>
      <c r="S7" s="85"/>
      <c r="T7" s="85"/>
      <c r="U7" s="85"/>
      <c r="V7" s="88">
        <f>SUMIF('Наставни ансамбл'!J14:J220,"Далибор Стевић",'Наставни ансамбл'!S14:S220)</f>
        <v>0</v>
      </c>
      <c r="W7" s="87">
        <f t="shared" ref="W7:W36" si="0">SUM(O7,P7,Q7,R7,V7,U7)</f>
        <v>0</v>
      </c>
      <c r="X7" s="84">
        <f t="shared" ref="X7:X26" si="1">N7+(W7*0.6)</f>
        <v>8</v>
      </c>
      <c r="Y7" s="89">
        <f t="shared" ref="Y7:Y44" si="2">X7/D7*100</f>
        <v>266.66666666666663</v>
      </c>
      <c r="Z7" s="556">
        <f>(X7+X8)/2</f>
        <v>6.5</v>
      </c>
      <c r="AA7" s="558">
        <f>Z7/D7*100</f>
        <v>216.66666666666666</v>
      </c>
      <c r="AB7" s="556">
        <f>IF(Z7&lt;=D7,Z7,D7)</f>
        <v>3</v>
      </c>
      <c r="AC7" s="556">
        <f>IF(Z7&gt;D7,Z7-D7,0)</f>
        <v>3.5</v>
      </c>
      <c r="AD7" s="560">
        <v>8</v>
      </c>
      <c r="AE7" s="560">
        <v>5</v>
      </c>
    </row>
    <row r="8" spans="1:31" s="1" customFormat="1" x14ac:dyDescent="0.25">
      <c r="A8" s="553"/>
      <c r="B8" s="555"/>
      <c r="C8" s="90" t="s">
        <v>238</v>
      </c>
      <c r="D8" s="91">
        <v>3</v>
      </c>
      <c r="E8" s="140"/>
      <c r="F8" s="140"/>
      <c r="G8" s="140"/>
      <c r="H8" s="140"/>
      <c r="I8" s="201"/>
      <c r="J8" s="140"/>
      <c r="K8" s="140"/>
      <c r="L8" s="140"/>
      <c r="M8" s="86">
        <f>SUMIF('Наставни ансамбл'!J378:J585,"Далибор Стевић",'Наставни ансамбл'!R378:R585)</f>
        <v>5</v>
      </c>
      <c r="N8" s="87">
        <f t="shared" ref="N8:N46" si="3">SUM(E8:M8)</f>
        <v>5</v>
      </c>
      <c r="O8" s="85"/>
      <c r="P8" s="85"/>
      <c r="Q8" s="85"/>
      <c r="R8" s="85"/>
      <c r="S8" s="85"/>
      <c r="T8" s="85"/>
      <c r="U8" s="85"/>
      <c r="V8" s="88">
        <f>SUMIF('Наставни ансамбл'!J378:J585,"Далибор Стевић",'Наставни ансамбл'!S378:S585)</f>
        <v>0</v>
      </c>
      <c r="W8" s="87">
        <f t="shared" si="0"/>
        <v>0</v>
      </c>
      <c r="X8" s="91">
        <f t="shared" si="1"/>
        <v>5</v>
      </c>
      <c r="Y8" s="93">
        <f t="shared" si="2"/>
        <v>166.66666666666669</v>
      </c>
      <c r="Z8" s="557"/>
      <c r="AA8" s="559"/>
      <c r="AB8" s="557"/>
      <c r="AC8" s="557"/>
      <c r="AD8" s="553"/>
      <c r="AE8" s="553"/>
    </row>
    <row r="9" spans="1:31" s="1" customFormat="1" x14ac:dyDescent="0.25">
      <c r="A9" s="578">
        <v>2</v>
      </c>
      <c r="B9" s="554" t="s">
        <v>239</v>
      </c>
      <c r="C9" s="83" t="s">
        <v>237</v>
      </c>
      <c r="D9" s="84">
        <v>6</v>
      </c>
      <c r="E9" s="85"/>
      <c r="F9" s="85"/>
      <c r="G9" s="85"/>
      <c r="H9" s="85"/>
      <c r="I9" s="85"/>
      <c r="J9" s="85"/>
      <c r="K9" s="85"/>
      <c r="L9" s="85"/>
      <c r="M9" s="120">
        <f>SUMIF('Наставни ансамбл'!J14:J220,"Владо Симеуновић",'Наставни ансамбл'!R14:R220)</f>
        <v>4</v>
      </c>
      <c r="N9" s="87">
        <f t="shared" si="3"/>
        <v>4</v>
      </c>
      <c r="O9" s="85"/>
      <c r="P9" s="85"/>
      <c r="Q9" s="85"/>
      <c r="R9" s="85"/>
      <c r="S9" s="85"/>
      <c r="T9" s="85"/>
      <c r="U9" s="85"/>
      <c r="V9" s="121">
        <f>SUMIF('Наставни ансамбл'!J14:J220,"Владо Симеуновић",'Наставни ансамбл'!S14:S220)</f>
        <v>0</v>
      </c>
      <c r="W9" s="87">
        <f t="shared" si="0"/>
        <v>0</v>
      </c>
      <c r="X9" s="130">
        <f t="shared" si="1"/>
        <v>4</v>
      </c>
      <c r="Y9" s="89">
        <f t="shared" si="2"/>
        <v>66.666666666666657</v>
      </c>
      <c r="Z9" s="556">
        <f>(X9+X10)/2</f>
        <v>6</v>
      </c>
      <c r="AA9" s="558">
        <f>Z9/D9*100</f>
        <v>100</v>
      </c>
      <c r="AB9" s="556">
        <f>IF(Z9&lt;=D9,Z9,D9)</f>
        <v>6</v>
      </c>
      <c r="AC9" s="556">
        <f>IF(Z9&gt;D9,Z9-D9,0)</f>
        <v>0</v>
      </c>
      <c r="AD9" s="560">
        <v>9</v>
      </c>
      <c r="AE9" s="560">
        <v>3</v>
      </c>
    </row>
    <row r="10" spans="1:31" s="1" customFormat="1" x14ac:dyDescent="0.25">
      <c r="A10" s="579"/>
      <c r="B10" s="555"/>
      <c r="C10" s="90" t="s">
        <v>238</v>
      </c>
      <c r="D10" s="91">
        <v>6</v>
      </c>
      <c r="E10" s="140"/>
      <c r="F10" s="140"/>
      <c r="G10" s="140"/>
      <c r="H10" s="140"/>
      <c r="I10" s="140"/>
      <c r="J10" s="140"/>
      <c r="K10" s="140"/>
      <c r="L10" s="140"/>
      <c r="M10" s="120">
        <f>SUMIF('Наставни ансамбл'!J378:J585,"Владо Симеуновић",'Наставни ансамбл'!R378:R585)</f>
        <v>8</v>
      </c>
      <c r="N10" s="87">
        <f t="shared" si="3"/>
        <v>8</v>
      </c>
      <c r="O10" s="85"/>
      <c r="P10" s="85"/>
      <c r="Q10" s="85"/>
      <c r="R10" s="85"/>
      <c r="S10" s="85"/>
      <c r="T10" s="85"/>
      <c r="U10" s="85"/>
      <c r="V10" s="88">
        <f>SUMIF('Наставни ансамбл'!J378:J585,"Владо Симеуновић",'Наставни ансамбл'!S378:S585)</f>
        <v>0</v>
      </c>
      <c r="W10" s="87">
        <f t="shared" si="0"/>
        <v>0</v>
      </c>
      <c r="X10" s="91">
        <f t="shared" si="1"/>
        <v>8</v>
      </c>
      <c r="Y10" s="93">
        <f t="shared" si="2"/>
        <v>133.33333333333331</v>
      </c>
      <c r="Z10" s="557"/>
      <c r="AA10" s="559"/>
      <c r="AB10" s="557"/>
      <c r="AC10" s="557"/>
      <c r="AD10" s="553"/>
      <c r="AE10" s="553"/>
    </row>
    <row r="11" spans="1:31" s="1" customFormat="1" x14ac:dyDescent="0.25">
      <c r="A11" s="552">
        <v>3</v>
      </c>
      <c r="B11" s="580" t="s">
        <v>244</v>
      </c>
      <c r="C11" s="83" t="s">
        <v>237</v>
      </c>
      <c r="D11" s="84">
        <v>6</v>
      </c>
      <c r="E11" s="85"/>
      <c r="F11" s="85"/>
      <c r="G11" s="85"/>
      <c r="H11" s="85"/>
      <c r="I11" s="85"/>
      <c r="J11" s="85"/>
      <c r="K11" s="85"/>
      <c r="L11" s="85"/>
      <c r="M11" s="120">
        <f>SUMIF('Наставни ансамбл'!J14:J220,"Десанка Тракиловић",'Наставни ансамбл'!R14:R220)</f>
        <v>2</v>
      </c>
      <c r="N11" s="87">
        <f t="shared" si="3"/>
        <v>2</v>
      </c>
      <c r="O11" s="85"/>
      <c r="P11" s="85"/>
      <c r="Q11" s="85"/>
      <c r="R11" s="85"/>
      <c r="S11" s="85"/>
      <c r="T11" s="85"/>
      <c r="U11" s="85"/>
      <c r="V11" s="88">
        <f>SUMIF('Наставни ансамбл'!J14:J220,"Десанка Тракиловић",'Наставни ансамбл'!S14:S220)</f>
        <v>0</v>
      </c>
      <c r="W11" s="87">
        <f t="shared" si="0"/>
        <v>0</v>
      </c>
      <c r="X11" s="84">
        <f t="shared" si="1"/>
        <v>2</v>
      </c>
      <c r="Y11" s="89">
        <f t="shared" si="2"/>
        <v>33.333333333333329</v>
      </c>
      <c r="Z11" s="556">
        <f>(X11+X12)/2</f>
        <v>3.6</v>
      </c>
      <c r="AA11" s="558">
        <f>Z11/D11*100</f>
        <v>60</v>
      </c>
      <c r="AB11" s="556">
        <f>IF(Z11&lt;=D11,Z11,D11)</f>
        <v>3.6</v>
      </c>
      <c r="AC11" s="556">
        <f>IF(Z11&gt;D11,Z11-D11,0)</f>
        <v>0</v>
      </c>
      <c r="AD11" s="560">
        <v>3</v>
      </c>
      <c r="AE11" s="560">
        <v>9</v>
      </c>
    </row>
    <row r="12" spans="1:31" s="1" customFormat="1" x14ac:dyDescent="0.25">
      <c r="A12" s="553"/>
      <c r="B12" s="581"/>
      <c r="C12" s="90" t="s">
        <v>238</v>
      </c>
      <c r="D12" s="91">
        <v>6</v>
      </c>
      <c r="E12" s="140"/>
      <c r="F12" s="140"/>
      <c r="G12" s="140"/>
      <c r="H12" s="140"/>
      <c r="I12" s="140"/>
      <c r="J12" s="140"/>
      <c r="K12" s="140"/>
      <c r="L12" s="140"/>
      <c r="M12" s="120">
        <f>SUMIF('Наставни ансамбл'!J378:J585,"Десанка Тракиловић",'Наставни ансамбл'!R378:R585)</f>
        <v>4</v>
      </c>
      <c r="N12" s="87">
        <f t="shared" si="3"/>
        <v>4</v>
      </c>
      <c r="O12" s="85"/>
      <c r="P12" s="85"/>
      <c r="Q12" s="85"/>
      <c r="R12" s="85"/>
      <c r="S12" s="85"/>
      <c r="T12" s="85"/>
      <c r="U12" s="85"/>
      <c r="V12" s="88">
        <f>SUMIF('Наставни ансамбл'!J378:J585,"Десанка Тракиловић",'Наставни ансамбл'!S378:S585)</f>
        <v>2</v>
      </c>
      <c r="W12" s="87">
        <f t="shared" si="0"/>
        <v>2</v>
      </c>
      <c r="X12" s="91">
        <f t="shared" si="1"/>
        <v>5.2</v>
      </c>
      <c r="Y12" s="93">
        <f t="shared" si="2"/>
        <v>86.666666666666671</v>
      </c>
      <c r="Z12" s="557"/>
      <c r="AA12" s="559"/>
      <c r="AB12" s="557"/>
      <c r="AC12" s="557"/>
      <c r="AD12" s="553"/>
      <c r="AE12" s="553"/>
    </row>
    <row r="13" spans="1:31" s="1" customFormat="1" x14ac:dyDescent="0.25">
      <c r="A13" s="552">
        <v>4</v>
      </c>
      <c r="B13" s="554" t="s">
        <v>248</v>
      </c>
      <c r="C13" s="83" t="s">
        <v>237</v>
      </c>
      <c r="D13" s="84">
        <v>6</v>
      </c>
      <c r="E13" s="85"/>
      <c r="F13" s="85"/>
      <c r="G13" s="85"/>
      <c r="H13" s="85"/>
      <c r="I13" s="85"/>
      <c r="J13" s="85"/>
      <c r="K13" s="118"/>
      <c r="L13" s="85"/>
      <c r="M13" s="86">
        <f>SUMIF('Наставни ансамбл'!J14:J220,"Драгица Милинковић",'Наставни ансамбл'!R14:R220)</f>
        <v>4</v>
      </c>
      <c r="N13" s="87">
        <f t="shared" si="3"/>
        <v>4</v>
      </c>
      <c r="O13" s="85"/>
      <c r="P13" s="85"/>
      <c r="Q13" s="85"/>
      <c r="R13" s="85"/>
      <c r="S13" s="85"/>
      <c r="T13" s="85"/>
      <c r="U13" s="85"/>
      <c r="V13" s="88">
        <f>SUMIF('Наставни ансамбл'!J14:J220,"Драгица Милинковић",'Наставни ансамбл'!S14:S220)</f>
        <v>0</v>
      </c>
      <c r="W13" s="87">
        <f t="shared" si="0"/>
        <v>0</v>
      </c>
      <c r="X13" s="84">
        <f t="shared" si="1"/>
        <v>4</v>
      </c>
      <c r="Y13" s="89">
        <f t="shared" si="2"/>
        <v>66.666666666666657</v>
      </c>
      <c r="Z13" s="556">
        <f>(X13+X14)/2</f>
        <v>5</v>
      </c>
      <c r="AA13" s="558">
        <f>Z13/D13*100</f>
        <v>83.333333333333343</v>
      </c>
      <c r="AB13" s="556">
        <f>IF(Z13&lt;=D13,Z13,D13)</f>
        <v>5</v>
      </c>
      <c r="AC13" s="556">
        <f>IF(Z13&gt;D13,Z13-D13,0)</f>
        <v>0</v>
      </c>
      <c r="AD13" s="560">
        <v>9</v>
      </c>
      <c r="AE13" s="560">
        <v>4</v>
      </c>
    </row>
    <row r="14" spans="1:31" s="1" customFormat="1" x14ac:dyDescent="0.25">
      <c r="A14" s="553"/>
      <c r="B14" s="555"/>
      <c r="C14" s="90" t="s">
        <v>238</v>
      </c>
      <c r="D14" s="91">
        <v>6</v>
      </c>
      <c r="E14" s="140"/>
      <c r="F14" s="140"/>
      <c r="G14" s="140"/>
      <c r="H14" s="140"/>
      <c r="I14" s="140"/>
      <c r="J14" s="140"/>
      <c r="K14" s="201"/>
      <c r="L14" s="140"/>
      <c r="M14" s="86">
        <f>SUMIF('Наставни ансамбл'!J378:J585,"Драгица Милинковић",'Наставни ансамбл'!R378:R585)</f>
        <v>6</v>
      </c>
      <c r="N14" s="87">
        <f t="shared" si="3"/>
        <v>6</v>
      </c>
      <c r="O14" s="85"/>
      <c r="P14" s="85"/>
      <c r="Q14" s="85"/>
      <c r="R14" s="85"/>
      <c r="S14" s="85"/>
      <c r="T14" s="85"/>
      <c r="U14" s="118"/>
      <c r="V14" s="88">
        <f>SUMIF('Наставни ансамбл'!J378:J585,"Драгица Милинковић",'Наставни ансамбл'!S378:S585)</f>
        <v>0</v>
      </c>
      <c r="W14" s="87">
        <f t="shared" si="0"/>
        <v>0</v>
      </c>
      <c r="X14" s="91">
        <f t="shared" si="1"/>
        <v>6</v>
      </c>
      <c r="Y14" s="93">
        <f t="shared" si="2"/>
        <v>100</v>
      </c>
      <c r="Z14" s="557"/>
      <c r="AA14" s="559"/>
      <c r="AB14" s="557"/>
      <c r="AC14" s="557"/>
      <c r="AD14" s="553"/>
      <c r="AE14" s="553"/>
    </row>
    <row r="15" spans="1:31" s="1" customFormat="1" x14ac:dyDescent="0.25">
      <c r="A15" s="552">
        <v>5</v>
      </c>
      <c r="B15" s="554" t="s">
        <v>247</v>
      </c>
      <c r="C15" s="83" t="s">
        <v>237</v>
      </c>
      <c r="D15" s="84">
        <v>6</v>
      </c>
      <c r="E15" s="85"/>
      <c r="F15" s="85"/>
      <c r="G15" s="85"/>
      <c r="H15" s="85"/>
      <c r="I15" s="85"/>
      <c r="J15" s="85"/>
      <c r="K15" s="85"/>
      <c r="L15" s="85"/>
      <c r="M15" s="86">
        <f>SUMIF('Наставни ансамбл'!J14:J220,"Сања Опсеница",'Наставни ансамбл'!R14:R220)</f>
        <v>4</v>
      </c>
      <c r="N15" s="87">
        <f t="shared" si="3"/>
        <v>4</v>
      </c>
      <c r="O15" s="85"/>
      <c r="P15" s="85"/>
      <c r="Q15" s="85"/>
      <c r="R15" s="85"/>
      <c r="S15" s="85"/>
      <c r="T15" s="85"/>
      <c r="U15" s="85"/>
      <c r="V15" s="88">
        <f>SUMIF('Наставни ансамбл'!J14:J220,"Сања Опсеница",'Наставни ансамбл'!S14:S220)</f>
        <v>4</v>
      </c>
      <c r="W15" s="87">
        <f t="shared" si="0"/>
        <v>4</v>
      </c>
      <c r="X15" s="84">
        <f t="shared" si="1"/>
        <v>6.4</v>
      </c>
      <c r="Y15" s="89">
        <f t="shared" si="2"/>
        <v>106.66666666666667</v>
      </c>
      <c r="Z15" s="556">
        <f>(X15+X16)/2</f>
        <v>8.5</v>
      </c>
      <c r="AA15" s="558">
        <f>Z15/D15*100</f>
        <v>141.66666666666669</v>
      </c>
      <c r="AB15" s="556">
        <f>IF(Z15&lt;=D15,Z15,D15)</f>
        <v>6</v>
      </c>
      <c r="AC15" s="556">
        <f>IF(Z15&gt;D15,Z15-D15,0)</f>
        <v>2.5</v>
      </c>
      <c r="AD15" s="560">
        <v>3</v>
      </c>
      <c r="AE15" s="560">
        <v>3</v>
      </c>
    </row>
    <row r="16" spans="1:31" s="1" customFormat="1" x14ac:dyDescent="0.25">
      <c r="A16" s="553"/>
      <c r="B16" s="555"/>
      <c r="C16" s="90" t="s">
        <v>238</v>
      </c>
      <c r="D16" s="91">
        <v>6</v>
      </c>
      <c r="E16" s="140"/>
      <c r="F16" s="350">
        <v>3.2</v>
      </c>
      <c r="G16" s="351"/>
      <c r="H16" s="351"/>
      <c r="I16" s="351"/>
      <c r="J16" s="351"/>
      <c r="K16" s="351"/>
      <c r="L16" s="351"/>
      <c r="M16" s="86">
        <f>SUMIF('Наставни ансамбл'!J378:J585,"Сања Опсеница",'Наставни ансамбл'!R378:R585)</f>
        <v>5</v>
      </c>
      <c r="N16" s="87">
        <f t="shared" si="3"/>
        <v>8.1999999999999993</v>
      </c>
      <c r="O16" s="85"/>
      <c r="P16" s="85"/>
      <c r="Q16" s="85"/>
      <c r="R16" s="85"/>
      <c r="S16" s="85"/>
      <c r="T16" s="85"/>
      <c r="U16" s="85"/>
      <c r="V16" s="88">
        <f>SUMIF('Наставни ансамбл'!J378:J585,"Сања Опсеница",'Наставни ансамбл'!S378:S585)</f>
        <v>4</v>
      </c>
      <c r="W16" s="87">
        <f t="shared" si="0"/>
        <v>4</v>
      </c>
      <c r="X16" s="91">
        <f t="shared" si="1"/>
        <v>10.6</v>
      </c>
      <c r="Y16" s="93">
        <f t="shared" si="2"/>
        <v>176.66666666666666</v>
      </c>
      <c r="Z16" s="557"/>
      <c r="AA16" s="559"/>
      <c r="AB16" s="557"/>
      <c r="AC16" s="557"/>
      <c r="AD16" s="553"/>
      <c r="AE16" s="553"/>
    </row>
    <row r="17" spans="1:39" s="1" customFormat="1" x14ac:dyDescent="0.25">
      <c r="A17" s="552">
        <v>6</v>
      </c>
      <c r="B17" s="582" t="s">
        <v>545</v>
      </c>
      <c r="C17" s="83" t="s">
        <v>237</v>
      </c>
      <c r="D17" s="84">
        <v>6</v>
      </c>
      <c r="E17" s="85"/>
      <c r="F17" s="352"/>
      <c r="G17" s="352"/>
      <c r="H17" s="352"/>
      <c r="I17" s="352"/>
      <c r="J17" s="352"/>
      <c r="K17" s="352"/>
      <c r="L17" s="352"/>
      <c r="M17" s="86">
        <f>SUMIF('Наставни ансамбл'!J14:J220,"Оливера Петровић",'Наставни ансамбл'!R14:R220)</f>
        <v>1</v>
      </c>
      <c r="N17" s="87">
        <f t="shared" si="3"/>
        <v>1</v>
      </c>
      <c r="O17" s="85"/>
      <c r="P17" s="85"/>
      <c r="Q17" s="85"/>
      <c r="R17" s="85"/>
      <c r="S17" s="85"/>
      <c r="T17" s="85"/>
      <c r="U17" s="85"/>
      <c r="V17" s="88">
        <f>SUMIF('Наставни ансамбл'!J14:J220,"Оливера Петровић",'Наставни ансамбл'!S14:S220)</f>
        <v>2</v>
      </c>
      <c r="W17" s="87">
        <f t="shared" si="0"/>
        <v>2</v>
      </c>
      <c r="X17" s="84">
        <f t="shared" si="1"/>
        <v>2.2000000000000002</v>
      </c>
      <c r="Y17" s="89">
        <f t="shared" si="2"/>
        <v>36.666666666666671</v>
      </c>
      <c r="Z17" s="556">
        <f>(X17+X18)/2</f>
        <v>6.6999999999999993</v>
      </c>
      <c r="AA17" s="558">
        <f>Z17/D17*100</f>
        <v>111.66666666666664</v>
      </c>
      <c r="AB17" s="556">
        <f>IF(Z17&lt;=D17,Z17,D17)</f>
        <v>6</v>
      </c>
      <c r="AC17" s="556">
        <f>IF(Z17&gt;D17,Z17-D17,0)</f>
        <v>0.69999999999999929</v>
      </c>
      <c r="AD17" s="560">
        <v>2</v>
      </c>
      <c r="AE17" s="560">
        <v>3</v>
      </c>
    </row>
    <row r="18" spans="1:39" s="1" customFormat="1" x14ac:dyDescent="0.25">
      <c r="A18" s="553"/>
      <c r="B18" s="555"/>
      <c r="C18" s="90" t="s">
        <v>238</v>
      </c>
      <c r="D18" s="91">
        <v>6</v>
      </c>
      <c r="E18" s="201"/>
      <c r="F18" s="351"/>
      <c r="G18" s="351"/>
      <c r="H18" s="351"/>
      <c r="I18" s="351"/>
      <c r="J18" s="351"/>
      <c r="K18" s="351"/>
      <c r="L18" s="350">
        <v>2</v>
      </c>
      <c r="M18" s="86">
        <f>SUMIF('Наставни ансамбл'!J378:J585,"Оливера Петровић",'Наставни ансамбл'!R378:R585)</f>
        <v>5</v>
      </c>
      <c r="N18" s="87">
        <f t="shared" si="3"/>
        <v>7</v>
      </c>
      <c r="O18" s="85"/>
      <c r="P18" s="85"/>
      <c r="Q18" s="85"/>
      <c r="R18" s="85"/>
      <c r="S18" s="85"/>
      <c r="T18" s="85"/>
      <c r="U18" s="85"/>
      <c r="V18" s="88">
        <f>SUMIF('Наставни ансамбл'!J378:J585,"Оливера Петровић",'Наставни ансамбл'!S378:S585)</f>
        <v>7</v>
      </c>
      <c r="W18" s="87">
        <f t="shared" si="0"/>
        <v>7</v>
      </c>
      <c r="X18" s="91">
        <f t="shared" si="1"/>
        <v>11.2</v>
      </c>
      <c r="Y18" s="93">
        <f t="shared" si="2"/>
        <v>186.66666666666666</v>
      </c>
      <c r="Z18" s="557"/>
      <c r="AA18" s="559"/>
      <c r="AB18" s="557"/>
      <c r="AC18" s="557"/>
      <c r="AD18" s="553"/>
      <c r="AE18" s="553"/>
    </row>
    <row r="19" spans="1:39" s="1" customFormat="1" x14ac:dyDescent="0.25">
      <c r="A19" s="552">
        <v>7</v>
      </c>
      <c r="B19" s="554" t="s">
        <v>246</v>
      </c>
      <c r="C19" s="83" t="s">
        <v>237</v>
      </c>
      <c r="D19" s="84">
        <v>6</v>
      </c>
      <c r="E19" s="118"/>
      <c r="F19" s="85"/>
      <c r="G19" s="85"/>
      <c r="H19" s="85"/>
      <c r="I19" s="85"/>
      <c r="J19" s="85"/>
      <c r="K19" s="85"/>
      <c r="L19" s="85"/>
      <c r="M19" s="86">
        <f>SUMIF('Наставни ансамбл'!J14:J220,"Татјана Думитрашковић",'Наставни ансамбл'!R14:R220)</f>
        <v>6</v>
      </c>
      <c r="N19" s="87">
        <f t="shared" si="3"/>
        <v>6</v>
      </c>
      <c r="O19" s="85"/>
      <c r="P19" s="85"/>
      <c r="Q19" s="85"/>
      <c r="R19" s="85"/>
      <c r="S19" s="85"/>
      <c r="T19" s="85"/>
      <c r="U19" s="85"/>
      <c r="V19" s="88">
        <f>SUMIF('Наставни ансамбл'!J14:J220,"Татјана Думитрашковић",'Наставни ансамбл'!S14:S220)</f>
        <v>5</v>
      </c>
      <c r="W19" s="87">
        <f t="shared" si="0"/>
        <v>5</v>
      </c>
      <c r="X19" s="84">
        <f t="shared" si="1"/>
        <v>9</v>
      </c>
      <c r="Y19" s="89">
        <f t="shared" si="2"/>
        <v>150</v>
      </c>
      <c r="Z19" s="556">
        <f>(X19+X20)/2</f>
        <v>5.6</v>
      </c>
      <c r="AA19" s="558">
        <f>Z19/D19*100</f>
        <v>93.333333333333329</v>
      </c>
      <c r="AB19" s="556">
        <f>IF(Z19&lt;=D19,Z19,D19)</f>
        <v>5.6</v>
      </c>
      <c r="AC19" s="556">
        <f>IF(Z19&gt;D19,Z19-D19,0)</f>
        <v>0</v>
      </c>
      <c r="AD19" s="560">
        <v>1</v>
      </c>
      <c r="AE19" s="560">
        <v>2</v>
      </c>
    </row>
    <row r="20" spans="1:39" s="1" customFormat="1" x14ac:dyDescent="0.25">
      <c r="A20" s="553"/>
      <c r="B20" s="555"/>
      <c r="C20" s="90" t="s">
        <v>238</v>
      </c>
      <c r="D20" s="91">
        <v>6</v>
      </c>
      <c r="E20" s="201"/>
      <c r="F20" s="140"/>
      <c r="G20" s="140"/>
      <c r="H20" s="140"/>
      <c r="I20" s="140"/>
      <c r="J20" s="140"/>
      <c r="K20" s="140"/>
      <c r="L20" s="140"/>
      <c r="M20" s="86">
        <f>SUMIF('Наставни ансамбл'!J378:J585,"Татјана Думитрашковић",'Наставни ансамбл'!R378:R585)</f>
        <v>1</v>
      </c>
      <c r="N20" s="87">
        <f t="shared" si="3"/>
        <v>1</v>
      </c>
      <c r="O20" s="85"/>
      <c r="P20" s="85"/>
      <c r="Q20" s="85"/>
      <c r="R20" s="85"/>
      <c r="S20" s="85"/>
      <c r="T20" s="85"/>
      <c r="U20" s="85"/>
      <c r="V20" s="88">
        <f>SUMIF('Наставни ансамбл'!J378:J585,"Татјана Думитрашковић",'Наставни ансамбл'!S378:S585)</f>
        <v>2</v>
      </c>
      <c r="W20" s="87">
        <f t="shared" si="0"/>
        <v>2</v>
      </c>
      <c r="X20" s="91">
        <f t="shared" si="1"/>
        <v>2.2000000000000002</v>
      </c>
      <c r="Y20" s="93">
        <f t="shared" si="2"/>
        <v>36.666666666666671</v>
      </c>
      <c r="Z20" s="557"/>
      <c r="AA20" s="559"/>
      <c r="AB20" s="557"/>
      <c r="AC20" s="557"/>
      <c r="AD20" s="553"/>
      <c r="AE20" s="553"/>
    </row>
    <row r="21" spans="1:39" s="1" customFormat="1" x14ac:dyDescent="0.25">
      <c r="A21" s="552">
        <v>8</v>
      </c>
      <c r="B21" s="554" t="s">
        <v>527</v>
      </c>
      <c r="C21" s="83" t="s">
        <v>237</v>
      </c>
      <c r="D21" s="84">
        <v>6</v>
      </c>
      <c r="E21" s="85"/>
      <c r="F21" s="85"/>
      <c r="G21" s="85"/>
      <c r="H21" s="85"/>
      <c r="I21" s="85"/>
      <c r="J21" s="85"/>
      <c r="K21" s="85"/>
      <c r="L21" s="85"/>
      <c r="M21" s="86">
        <f>SUMIF('Наставни ансамбл'!J14:J220,"Нина Ћеклић",'Наставни ансамбл'!R14:R220)</f>
        <v>4</v>
      </c>
      <c r="N21" s="87">
        <f t="shared" si="3"/>
        <v>4</v>
      </c>
      <c r="O21" s="85"/>
      <c r="P21" s="85"/>
      <c r="Q21" s="85"/>
      <c r="R21" s="85"/>
      <c r="S21" s="85"/>
      <c r="T21" s="85"/>
      <c r="U21" s="85"/>
      <c r="V21" s="88">
        <f>SUMIF('Наставни ансамбл'!J14:J220,"Нина Ћеклић",'Наставни ансамбл'!S14:S220)</f>
        <v>5</v>
      </c>
      <c r="W21" s="87">
        <f t="shared" si="0"/>
        <v>5</v>
      </c>
      <c r="X21" s="84">
        <f t="shared" si="1"/>
        <v>7</v>
      </c>
      <c r="Y21" s="89">
        <f t="shared" si="2"/>
        <v>116.66666666666667</v>
      </c>
      <c r="Z21" s="556">
        <f>(X21+X22)/2</f>
        <v>8.1</v>
      </c>
      <c r="AA21" s="558">
        <f>Z21/D21*100</f>
        <v>135</v>
      </c>
      <c r="AB21" s="556">
        <f>IF(Z21&lt;=D21,Z21,D21)</f>
        <v>6</v>
      </c>
      <c r="AC21" s="556">
        <f>IF(Z21&gt;D21,Z21-D21,0)</f>
        <v>2.0999999999999996</v>
      </c>
      <c r="AD21" s="560">
        <v>3</v>
      </c>
      <c r="AE21" s="560">
        <v>5</v>
      </c>
      <c r="AH21" s="98"/>
      <c r="AI21" s="99"/>
      <c r="AJ21" s="99"/>
      <c r="AK21" s="99"/>
      <c r="AL21" s="99"/>
      <c r="AM21" s="99"/>
    </row>
    <row r="22" spans="1:39" s="1" customFormat="1" x14ac:dyDescent="0.25">
      <c r="A22" s="553"/>
      <c r="B22" s="555"/>
      <c r="C22" s="90" t="s">
        <v>238</v>
      </c>
      <c r="D22" s="91">
        <v>6</v>
      </c>
      <c r="E22" s="140"/>
      <c r="F22" s="140"/>
      <c r="G22" s="140"/>
      <c r="H22" s="140"/>
      <c r="I22" s="140"/>
      <c r="J22" s="140"/>
      <c r="K22" s="140"/>
      <c r="L22" s="140"/>
      <c r="M22" s="86">
        <f>SUMIF('Наставни ансамбл'!J378:J585,"Нина Ћеклић",'Наставни ансамбл'!R378:R585)</f>
        <v>5</v>
      </c>
      <c r="N22" s="87">
        <f t="shared" si="3"/>
        <v>5</v>
      </c>
      <c r="O22" s="85"/>
      <c r="P22" s="85"/>
      <c r="Q22" s="85"/>
      <c r="R22" s="85"/>
      <c r="S22" s="85"/>
      <c r="T22" s="85"/>
      <c r="U22" s="85"/>
      <c r="V22" s="88">
        <f>SUMIF('Наставни ансамбл'!J378:J585,"Нина Ћеклић",'Наставни ансамбл'!S378:S585)</f>
        <v>7</v>
      </c>
      <c r="W22" s="87">
        <f t="shared" si="0"/>
        <v>7</v>
      </c>
      <c r="X22" s="91">
        <f t="shared" si="1"/>
        <v>9.1999999999999993</v>
      </c>
      <c r="Y22" s="93">
        <f t="shared" si="2"/>
        <v>153.33333333333331</v>
      </c>
      <c r="Z22" s="557"/>
      <c r="AA22" s="559"/>
      <c r="AB22" s="557"/>
      <c r="AC22" s="557"/>
      <c r="AD22" s="553"/>
      <c r="AE22" s="553"/>
      <c r="AH22" s="98"/>
      <c r="AI22" s="99"/>
      <c r="AJ22" s="99"/>
      <c r="AK22" s="99"/>
      <c r="AL22" s="99"/>
      <c r="AM22" s="99"/>
    </row>
    <row r="23" spans="1:39" s="1" customFormat="1" x14ac:dyDescent="0.25">
      <c r="A23" s="552">
        <v>9</v>
      </c>
      <c r="B23" s="554" t="s">
        <v>249</v>
      </c>
      <c r="C23" s="83" t="s">
        <v>237</v>
      </c>
      <c r="D23" s="84">
        <v>6</v>
      </c>
      <c r="E23" s="85"/>
      <c r="F23" s="85"/>
      <c r="G23" s="85"/>
      <c r="H23" s="85"/>
      <c r="I23" s="85"/>
      <c r="J23" s="85"/>
      <c r="K23" s="85"/>
      <c r="L23" s="85"/>
      <c r="M23" s="86">
        <f>SUMIF('Наставни ансамбл'!J14:J220,"Милена Ивановић",'Наставни ансамбл'!R14:R220)</f>
        <v>4</v>
      </c>
      <c r="N23" s="87">
        <f t="shared" si="3"/>
        <v>4</v>
      </c>
      <c r="O23" s="85"/>
      <c r="P23" s="85"/>
      <c r="Q23" s="85"/>
      <c r="R23" s="85"/>
      <c r="S23" s="85"/>
      <c r="T23" s="85"/>
      <c r="U23" s="85"/>
      <c r="V23" s="88">
        <f>SUMIF('Наставни ансамбл'!J14:J220,"Милена Ивановић",'Наставни ансамбл'!S14:S220)</f>
        <v>6</v>
      </c>
      <c r="W23" s="87">
        <f t="shared" si="0"/>
        <v>6</v>
      </c>
      <c r="X23" s="84">
        <f t="shared" si="1"/>
        <v>7.6</v>
      </c>
      <c r="Y23" s="89">
        <f t="shared" si="2"/>
        <v>126.66666666666666</v>
      </c>
      <c r="Z23" s="556">
        <f>(X23+X24)/2</f>
        <v>10.8</v>
      </c>
      <c r="AA23" s="558">
        <f>Z23/D23*100</f>
        <v>180</v>
      </c>
      <c r="AB23" s="556">
        <f>IF(Z23&lt;=D23,Z23,D23)</f>
        <v>6</v>
      </c>
      <c r="AC23" s="556">
        <f>IF(Z23&gt;D23,Z23-D23,0)</f>
        <v>4.8000000000000007</v>
      </c>
      <c r="AD23" s="560">
        <v>0</v>
      </c>
      <c r="AE23" s="560">
        <v>0</v>
      </c>
    </row>
    <row r="24" spans="1:39" s="1" customFormat="1" x14ac:dyDescent="0.25">
      <c r="A24" s="585"/>
      <c r="B24" s="586"/>
      <c r="C24" s="90" t="s">
        <v>238</v>
      </c>
      <c r="D24" s="94">
        <v>6</v>
      </c>
      <c r="E24" s="202"/>
      <c r="F24" s="202"/>
      <c r="G24" s="202"/>
      <c r="H24" s="202"/>
      <c r="I24" s="202"/>
      <c r="J24" s="202"/>
      <c r="K24" s="202"/>
      <c r="L24" s="202"/>
      <c r="M24" s="95">
        <f>SUMIF('Наставни ансамбл'!J378:J585,"Милена Ивановић",'Наставни ансамбл'!R378:R585)</f>
        <v>8</v>
      </c>
      <c r="N24" s="87">
        <f t="shared" si="3"/>
        <v>8</v>
      </c>
      <c r="O24" s="96"/>
      <c r="P24" s="96"/>
      <c r="Q24" s="96"/>
      <c r="R24" s="96"/>
      <c r="S24" s="96"/>
      <c r="T24" s="96"/>
      <c r="U24" s="96"/>
      <c r="V24" s="97">
        <f>SUMIF('Наставни ансамбл'!J378:J585,"Милена Ивановић",'Наставни ансамбл'!S378:S585)</f>
        <v>10</v>
      </c>
      <c r="W24" s="87">
        <f t="shared" si="0"/>
        <v>10</v>
      </c>
      <c r="X24" s="91">
        <f t="shared" si="1"/>
        <v>14</v>
      </c>
      <c r="Y24" s="93">
        <f t="shared" si="2"/>
        <v>233.33333333333334</v>
      </c>
      <c r="Z24" s="557"/>
      <c r="AA24" s="559"/>
      <c r="AB24" s="557"/>
      <c r="AC24" s="557"/>
      <c r="AD24" s="553"/>
      <c r="AE24" s="553"/>
    </row>
    <row r="25" spans="1:39" s="1" customFormat="1" x14ac:dyDescent="0.25">
      <c r="A25" s="552">
        <v>10</v>
      </c>
      <c r="B25" s="582" t="s">
        <v>259</v>
      </c>
      <c r="C25" s="83" t="s">
        <v>237</v>
      </c>
      <c r="D25" s="84">
        <v>6</v>
      </c>
      <c r="E25" s="85"/>
      <c r="F25" s="85"/>
      <c r="G25" s="85"/>
      <c r="H25" s="85"/>
      <c r="I25" s="85"/>
      <c r="J25" s="85"/>
      <c r="K25" s="85"/>
      <c r="L25" s="85"/>
      <c r="M25" s="86">
        <f>SUMIF('Наставни ансамбл'!J14:J220,"Драгана Радивојевић",'Наставни ансамбл'!R14:R220)</f>
        <v>3</v>
      </c>
      <c r="N25" s="87">
        <f t="shared" si="3"/>
        <v>3</v>
      </c>
      <c r="O25" s="85"/>
      <c r="P25" s="85"/>
      <c r="Q25" s="85"/>
      <c r="R25" s="85"/>
      <c r="S25" s="85"/>
      <c r="T25" s="85"/>
      <c r="U25" s="85"/>
      <c r="V25" s="88">
        <f>SUMIF('Наставни ансамбл'!J14:J220,"Драгана Радивојевић",'Наставни ансамбл'!S14:S220)</f>
        <v>4</v>
      </c>
      <c r="W25" s="87">
        <f t="shared" si="0"/>
        <v>4</v>
      </c>
      <c r="X25" s="130">
        <f t="shared" si="1"/>
        <v>5.4</v>
      </c>
      <c r="Y25" s="113">
        <f t="shared" si="2"/>
        <v>90</v>
      </c>
      <c r="Z25" s="556">
        <f>(X25+X26)/2</f>
        <v>6.7</v>
      </c>
      <c r="AA25" s="558">
        <f>Z25/D25*100</f>
        <v>111.66666666666667</v>
      </c>
      <c r="AB25" s="556">
        <f>IF(Z25&lt;=D25,Z25,D25)</f>
        <v>6</v>
      </c>
      <c r="AC25" s="556">
        <f>IF(Z25&gt;D25,Z25-D25,0)</f>
        <v>0.70000000000000018</v>
      </c>
      <c r="AD25" s="552">
        <v>3</v>
      </c>
      <c r="AE25" s="552">
        <v>5</v>
      </c>
      <c r="AH25" s="98"/>
      <c r="AI25" s="99"/>
      <c r="AJ25" s="99"/>
      <c r="AK25" s="99"/>
      <c r="AL25" s="99"/>
      <c r="AM25" s="99"/>
    </row>
    <row r="26" spans="1:39" s="1" customFormat="1" x14ac:dyDescent="0.25">
      <c r="A26" s="583"/>
      <c r="B26" s="584"/>
      <c r="C26" s="90" t="s">
        <v>238</v>
      </c>
      <c r="D26" s="91">
        <v>6</v>
      </c>
      <c r="E26" s="140"/>
      <c r="F26" s="140"/>
      <c r="G26" s="140"/>
      <c r="H26" s="140"/>
      <c r="I26" s="140"/>
      <c r="J26" s="140"/>
      <c r="K26" s="140"/>
      <c r="L26" s="140"/>
      <c r="M26" s="86">
        <f>SUMIF('Наставни ансамбл'!J378:J585,"Драгана Радивојевић",'Наставни ансамбл'!R378:R585)</f>
        <v>5</v>
      </c>
      <c r="N26" s="87">
        <f t="shared" si="3"/>
        <v>5</v>
      </c>
      <c r="O26" s="85"/>
      <c r="P26" s="85"/>
      <c r="Q26" s="85"/>
      <c r="R26" s="85"/>
      <c r="S26" s="85"/>
      <c r="T26" s="85"/>
      <c r="U26" s="85"/>
      <c r="V26" s="88">
        <f>SUMIF('Наставни ансамбл'!J378:J585,"Драгана Радивојевић",'Наставни ансамбл'!S378:S585)</f>
        <v>5</v>
      </c>
      <c r="W26" s="87">
        <f t="shared" si="0"/>
        <v>5</v>
      </c>
      <c r="X26" s="91">
        <f t="shared" si="1"/>
        <v>8</v>
      </c>
      <c r="Y26" s="93">
        <f t="shared" si="2"/>
        <v>133.33333333333331</v>
      </c>
      <c r="Z26" s="557"/>
      <c r="AA26" s="559"/>
      <c r="AB26" s="557"/>
      <c r="AC26" s="557"/>
      <c r="AD26" s="583"/>
      <c r="AE26" s="583"/>
      <c r="AH26" s="98"/>
      <c r="AI26" s="99"/>
      <c r="AJ26" s="99"/>
      <c r="AK26" s="99"/>
      <c r="AL26" s="99"/>
      <c r="AM26" s="99"/>
    </row>
    <row r="27" spans="1:39" s="1" customFormat="1" x14ac:dyDescent="0.25">
      <c r="A27" s="552">
        <v>11</v>
      </c>
      <c r="B27" s="582" t="s">
        <v>196</v>
      </c>
      <c r="C27" s="83" t="s">
        <v>237</v>
      </c>
      <c r="D27" s="84">
        <v>6</v>
      </c>
      <c r="E27" s="85"/>
      <c r="F27" s="348">
        <v>6.8</v>
      </c>
      <c r="G27" s="85"/>
      <c r="H27" s="85"/>
      <c r="I27" s="85"/>
      <c r="J27" s="85"/>
      <c r="K27" s="85"/>
      <c r="L27" s="85"/>
      <c r="M27" s="86">
        <f>SUMIF('Наставни ансамбл'!J14:J220,"Сања Милић",'Наставни ансамбл'!R14:R220)</f>
        <v>2</v>
      </c>
      <c r="N27" s="87">
        <f t="shared" si="3"/>
        <v>8.8000000000000007</v>
      </c>
      <c r="O27" s="85"/>
      <c r="P27" s="85"/>
      <c r="Q27" s="85"/>
      <c r="R27" s="85"/>
      <c r="S27" s="85"/>
      <c r="T27" s="85"/>
      <c r="U27" s="85"/>
      <c r="V27" s="88">
        <f>SUMIF('Наставни ансамбл'!J14:J220,"Сања Милић",'Наставни ансамбл'!S14:S220)</f>
        <v>6</v>
      </c>
      <c r="W27" s="87">
        <f t="shared" si="0"/>
        <v>6</v>
      </c>
      <c r="X27" s="84">
        <f>N27+(W27*0.6)</f>
        <v>12.4</v>
      </c>
      <c r="Y27" s="89">
        <f t="shared" si="2"/>
        <v>206.66666666666669</v>
      </c>
      <c r="Z27" s="556">
        <f>(X27+X28)/2</f>
        <v>13</v>
      </c>
      <c r="AA27" s="558">
        <f>Z27/D27*100</f>
        <v>216.66666666666666</v>
      </c>
      <c r="AB27" s="556">
        <f>IF(Z27&lt;=D27,Z27,D27)</f>
        <v>6</v>
      </c>
      <c r="AC27" s="556">
        <f>IF(Z27&gt;D27,Z27-D27,0)</f>
        <v>7</v>
      </c>
      <c r="AD27" s="560">
        <v>4</v>
      </c>
      <c r="AE27" s="560">
        <v>4</v>
      </c>
      <c r="AH27" s="98"/>
      <c r="AI27" s="99"/>
      <c r="AJ27" s="99"/>
      <c r="AK27" s="99"/>
      <c r="AL27" s="99"/>
      <c r="AM27" s="99"/>
    </row>
    <row r="28" spans="1:39" s="1" customFormat="1" x14ac:dyDescent="0.25">
      <c r="A28" s="553"/>
      <c r="B28" s="555"/>
      <c r="C28" s="90" t="s">
        <v>238</v>
      </c>
      <c r="D28" s="91">
        <v>6</v>
      </c>
      <c r="E28" s="140"/>
      <c r="F28" s="201">
        <v>4</v>
      </c>
      <c r="G28" s="140"/>
      <c r="H28" s="140"/>
      <c r="I28" s="140"/>
      <c r="J28" s="140"/>
      <c r="K28" s="140"/>
      <c r="L28" s="140"/>
      <c r="M28" s="86">
        <f>SUMIF('Наставни ансамбл'!J378:J585,"Сања Милић",'Наставни ансамбл'!R378:R585)</f>
        <v>6</v>
      </c>
      <c r="N28" s="87">
        <f t="shared" si="3"/>
        <v>10</v>
      </c>
      <c r="O28" s="85"/>
      <c r="P28" s="85"/>
      <c r="Q28" s="85"/>
      <c r="R28" s="85"/>
      <c r="S28" s="85"/>
      <c r="T28" s="85"/>
      <c r="U28" s="85"/>
      <c r="V28" s="88">
        <f>SUMIF('Наставни ансамбл'!J378:J585,"Сања Милић",'Наставни ансамбл'!S378:S585)</f>
        <v>6</v>
      </c>
      <c r="W28" s="87">
        <f t="shared" si="0"/>
        <v>6</v>
      </c>
      <c r="X28" s="91">
        <f>N28+(W28*0.6)</f>
        <v>13.6</v>
      </c>
      <c r="Y28" s="93">
        <f t="shared" si="2"/>
        <v>226.66666666666666</v>
      </c>
      <c r="Z28" s="557"/>
      <c r="AA28" s="559"/>
      <c r="AB28" s="557"/>
      <c r="AC28" s="557"/>
      <c r="AD28" s="553"/>
      <c r="AE28" s="553"/>
      <c r="AH28" s="98"/>
      <c r="AI28" s="99"/>
      <c r="AJ28" s="99"/>
      <c r="AK28" s="99"/>
      <c r="AL28" s="99"/>
      <c r="AM28" s="99"/>
    </row>
    <row r="29" spans="1:39" s="1" customFormat="1" ht="15" customHeight="1" x14ac:dyDescent="0.25">
      <c r="A29" s="552">
        <v>12</v>
      </c>
      <c r="B29" s="554" t="s">
        <v>258</v>
      </c>
      <c r="C29" s="83" t="s">
        <v>237</v>
      </c>
      <c r="D29" s="84">
        <v>6</v>
      </c>
      <c r="E29" s="85"/>
      <c r="F29" s="85"/>
      <c r="G29" s="85"/>
      <c r="H29" s="85"/>
      <c r="I29" s="85"/>
      <c r="J29" s="85"/>
      <c r="K29" s="85"/>
      <c r="L29" s="85"/>
      <c r="M29" s="120">
        <f>SUMIF('Наставни ансамбл'!J14:J220,"Марица Травар",'Наставни ансамбл'!R14:R220)</f>
        <v>3</v>
      </c>
      <c r="N29" s="87">
        <f t="shared" si="3"/>
        <v>3</v>
      </c>
      <c r="O29" s="85"/>
      <c r="P29" s="85"/>
      <c r="Q29" s="85"/>
      <c r="R29" s="85"/>
      <c r="S29" s="85"/>
      <c r="T29" s="85"/>
      <c r="U29" s="85"/>
      <c r="V29" s="88">
        <f>SUMIF('Наставни ансамбл'!J14:J220,"Марица Травар",'Наставни ансамбл'!S14:S220)</f>
        <v>3</v>
      </c>
      <c r="W29" s="87">
        <f t="shared" si="0"/>
        <v>3</v>
      </c>
      <c r="X29" s="84">
        <f t="shared" ref="X29:X46" si="4">N29+(W29*0.6)</f>
        <v>4.8</v>
      </c>
      <c r="Y29" s="89">
        <f t="shared" si="2"/>
        <v>80</v>
      </c>
      <c r="Z29" s="556">
        <f>(X29+X30)/2</f>
        <v>7.8000000000000007</v>
      </c>
      <c r="AA29" s="558">
        <f>Z29/D29*100</f>
        <v>130</v>
      </c>
      <c r="AB29" s="556">
        <f>IF(Z29&lt;=D29,Z29,D29)</f>
        <v>6</v>
      </c>
      <c r="AC29" s="556">
        <f>IF(Z29&gt;D29,Z29-D29,0)</f>
        <v>1.8000000000000007</v>
      </c>
      <c r="AD29" s="560">
        <v>1</v>
      </c>
      <c r="AE29" s="560">
        <v>4</v>
      </c>
    </row>
    <row r="30" spans="1:39" s="1" customFormat="1" x14ac:dyDescent="0.25">
      <c r="A30" s="553"/>
      <c r="B30" s="555"/>
      <c r="C30" s="90" t="s">
        <v>238</v>
      </c>
      <c r="D30" s="91">
        <v>6</v>
      </c>
      <c r="E30" s="140"/>
      <c r="F30" s="140"/>
      <c r="G30" s="140"/>
      <c r="H30" s="140"/>
      <c r="I30" s="140"/>
      <c r="J30" s="140"/>
      <c r="K30" s="140"/>
      <c r="L30" s="140"/>
      <c r="M30" s="120">
        <f>SUMIF('Наставни ансамбл'!J378:J585,"Марица Травар",'Наставни ансамбл'!R378:R585)</f>
        <v>6</v>
      </c>
      <c r="N30" s="87">
        <f t="shared" si="3"/>
        <v>6</v>
      </c>
      <c r="O30" s="85"/>
      <c r="P30" s="85"/>
      <c r="Q30" s="85"/>
      <c r="R30" s="85"/>
      <c r="S30" s="85"/>
      <c r="T30" s="85"/>
      <c r="U30" s="85"/>
      <c r="V30" s="88">
        <f>SUMIF('Наставни ансамбл'!J378:J585,"Марица Травар",'Наставни ансамбл'!S378:S585)</f>
        <v>8</v>
      </c>
      <c r="W30" s="87">
        <f t="shared" si="0"/>
        <v>8</v>
      </c>
      <c r="X30" s="91">
        <f t="shared" si="4"/>
        <v>10.8</v>
      </c>
      <c r="Y30" s="93">
        <f t="shared" si="2"/>
        <v>180</v>
      </c>
      <c r="Z30" s="557"/>
      <c r="AA30" s="559"/>
      <c r="AB30" s="557"/>
      <c r="AC30" s="557"/>
      <c r="AD30" s="553"/>
      <c r="AE30" s="553"/>
    </row>
    <row r="31" spans="1:39" s="1" customFormat="1" x14ac:dyDescent="0.25">
      <c r="A31" s="552">
        <v>13</v>
      </c>
      <c r="B31" s="587" t="s">
        <v>250</v>
      </c>
      <c r="C31" s="83" t="s">
        <v>237</v>
      </c>
      <c r="D31" s="84">
        <v>6</v>
      </c>
      <c r="E31" s="85"/>
      <c r="F31" s="85"/>
      <c r="G31" s="85"/>
      <c r="H31" s="85"/>
      <c r="I31" s="85"/>
      <c r="J31" s="85"/>
      <c r="K31" s="85"/>
      <c r="L31" s="85"/>
      <c r="M31" s="86">
        <f>SUMIF('Наставни ансамбл'!J14:J220,"Гордана Спасојевић-Стојановић",'Наставни ансамбл'!R14:R220)</f>
        <v>0</v>
      </c>
      <c r="N31" s="87">
        <f t="shared" si="3"/>
        <v>0</v>
      </c>
      <c r="O31" s="85"/>
      <c r="P31" s="85"/>
      <c r="Q31" s="85"/>
      <c r="R31" s="85"/>
      <c r="S31" s="85"/>
      <c r="T31" s="85"/>
      <c r="U31" s="85"/>
      <c r="V31" s="88">
        <f>SUMIF('Наставни ансамбл'!J14:J220,"Гордана Спасојевић-Стојановић",'Наставни ансамбл'!S14:S220)</f>
        <v>3</v>
      </c>
      <c r="W31" s="87">
        <f t="shared" si="0"/>
        <v>3</v>
      </c>
      <c r="X31" s="84">
        <f t="shared" si="4"/>
        <v>1.7999999999999998</v>
      </c>
      <c r="Y31" s="89">
        <f t="shared" si="2"/>
        <v>30</v>
      </c>
      <c r="Z31" s="556">
        <f>(X31+X32)/2</f>
        <v>3.4</v>
      </c>
      <c r="AA31" s="558">
        <f>Z31/D31*100</f>
        <v>56.666666666666664</v>
      </c>
      <c r="AB31" s="556">
        <f>IF(Z31&lt;=D31,Z31,D31)</f>
        <v>3.4</v>
      </c>
      <c r="AC31" s="556">
        <f>IF(Z31&gt;D31,Z31-D31,0)</f>
        <v>0</v>
      </c>
      <c r="AD31" s="560">
        <v>3</v>
      </c>
      <c r="AE31" s="560">
        <v>4</v>
      </c>
      <c r="AH31" s="98"/>
      <c r="AI31" s="99"/>
      <c r="AJ31" s="99"/>
      <c r="AK31" s="99"/>
      <c r="AL31" s="99"/>
      <c r="AM31" s="99"/>
    </row>
    <row r="32" spans="1:39" s="1" customFormat="1" x14ac:dyDescent="0.25">
      <c r="A32" s="553"/>
      <c r="B32" s="581"/>
      <c r="C32" s="90" t="s">
        <v>238</v>
      </c>
      <c r="D32" s="91">
        <v>6</v>
      </c>
      <c r="E32" s="140"/>
      <c r="F32" s="140"/>
      <c r="G32" s="140"/>
      <c r="H32" s="140"/>
      <c r="I32" s="140"/>
      <c r="J32" s="140"/>
      <c r="K32" s="140"/>
      <c r="L32" s="140"/>
      <c r="M32" s="86">
        <f>SUMIF('Наставни ансамбл'!J378:J585,"Гордана Спасојевић-Стојановић",'Наставни ансамбл'!R378:R585)</f>
        <v>2</v>
      </c>
      <c r="N32" s="87">
        <f t="shared" si="3"/>
        <v>2</v>
      </c>
      <c r="O32" s="85"/>
      <c r="P32" s="85"/>
      <c r="Q32" s="85"/>
      <c r="R32" s="85"/>
      <c r="S32" s="85"/>
      <c r="T32" s="85"/>
      <c r="U32" s="85"/>
      <c r="V32" s="88">
        <f>SUMIF('Наставни ансамбл'!J378:J585,"Гордана Спасојевић-Стојановић",'Наставни ансамбл'!S378:S585)</f>
        <v>5</v>
      </c>
      <c r="W32" s="87">
        <f t="shared" si="0"/>
        <v>5</v>
      </c>
      <c r="X32" s="91">
        <f t="shared" si="4"/>
        <v>5</v>
      </c>
      <c r="Y32" s="93">
        <f t="shared" si="2"/>
        <v>83.333333333333343</v>
      </c>
      <c r="Z32" s="557"/>
      <c r="AA32" s="559"/>
      <c r="AB32" s="557"/>
      <c r="AC32" s="557"/>
      <c r="AD32" s="553"/>
      <c r="AE32" s="553"/>
      <c r="AH32" s="98"/>
      <c r="AI32" s="99"/>
      <c r="AJ32" s="99"/>
      <c r="AK32" s="99"/>
      <c r="AL32" s="99"/>
      <c r="AM32" s="99"/>
    </row>
    <row r="33" spans="1:39" s="1" customFormat="1" x14ac:dyDescent="0.25">
      <c r="A33" s="552">
        <v>14</v>
      </c>
      <c r="B33" s="580" t="s">
        <v>260</v>
      </c>
      <c r="C33" s="83" t="s">
        <v>237</v>
      </c>
      <c r="D33" s="84">
        <v>6</v>
      </c>
      <c r="E33" s="92"/>
      <c r="F33" s="92"/>
      <c r="G33" s="119">
        <v>4</v>
      </c>
      <c r="H33" s="119"/>
      <c r="I33" s="92"/>
      <c r="J33" s="92"/>
      <c r="K33" s="92"/>
      <c r="L33" s="92"/>
      <c r="M33" s="86">
        <f>SUMIF('Наставни ансамбл'!J14:J220,"Љубо Шкиљевић",'Наставни ансамбл'!R14:R220)</f>
        <v>3</v>
      </c>
      <c r="N33" s="87">
        <f t="shared" si="3"/>
        <v>7</v>
      </c>
      <c r="O33" s="85"/>
      <c r="P33" s="85"/>
      <c r="Q33" s="85"/>
      <c r="R33" s="85"/>
      <c r="S33" s="85"/>
      <c r="T33" s="85"/>
      <c r="U33" s="85"/>
      <c r="V33" s="88">
        <f>SUMIF('Наставни ансамбл'!J14:J220,"Љубо Шкиљевић",'Наставни ансамбл'!S14:S220)</f>
        <v>4</v>
      </c>
      <c r="W33" s="87">
        <f t="shared" si="0"/>
        <v>4</v>
      </c>
      <c r="X33" s="84">
        <f t="shared" si="4"/>
        <v>9.4</v>
      </c>
      <c r="Y33" s="89">
        <f t="shared" si="2"/>
        <v>156.66666666666666</v>
      </c>
      <c r="Z33" s="556">
        <f>(X33+X34)/2</f>
        <v>8.3000000000000007</v>
      </c>
      <c r="AA33" s="558">
        <f>Z33/D33*100</f>
        <v>138.33333333333334</v>
      </c>
      <c r="AB33" s="556">
        <f>IF(Z33&lt;=D33,Z33,D33)</f>
        <v>6</v>
      </c>
      <c r="AC33" s="556">
        <f>IF(Z33&gt;D33,Z33-D33,0)</f>
        <v>2.3000000000000007</v>
      </c>
      <c r="AD33" s="560">
        <v>3</v>
      </c>
      <c r="AE33" s="560">
        <v>4</v>
      </c>
      <c r="AH33" s="98"/>
      <c r="AI33" s="99"/>
      <c r="AJ33" s="99"/>
      <c r="AK33" s="99"/>
      <c r="AL33" s="99"/>
      <c r="AM33" s="99"/>
    </row>
    <row r="34" spans="1:39" s="1" customFormat="1" x14ac:dyDescent="0.25">
      <c r="A34" s="583"/>
      <c r="B34" s="581"/>
      <c r="C34" s="90" t="s">
        <v>238</v>
      </c>
      <c r="D34" s="91">
        <v>6</v>
      </c>
      <c r="E34" s="140"/>
      <c r="F34" s="140"/>
      <c r="G34" s="201">
        <v>4</v>
      </c>
      <c r="H34" s="201"/>
      <c r="I34" s="140"/>
      <c r="J34" s="140"/>
      <c r="K34" s="140"/>
      <c r="L34" s="140"/>
      <c r="M34" s="86">
        <f>SUMIF('Наставни ансамбл'!J378:J585,"Љубо Шкиљевић",'Наставни ансамбл'!R378:R585)</f>
        <v>2</v>
      </c>
      <c r="N34" s="87">
        <f t="shared" si="3"/>
        <v>6</v>
      </c>
      <c r="O34" s="85"/>
      <c r="P34" s="85"/>
      <c r="Q34" s="85"/>
      <c r="R34" s="85"/>
      <c r="S34" s="85"/>
      <c r="T34" s="85"/>
      <c r="U34" s="85"/>
      <c r="V34" s="88">
        <f>SUMIF('Наставни ансамбл'!J378:J585,"Љубо Шкиљевић",'Наставни ансамбл'!S378:S585)</f>
        <v>2</v>
      </c>
      <c r="W34" s="87">
        <f t="shared" si="0"/>
        <v>2</v>
      </c>
      <c r="X34" s="91">
        <f t="shared" si="4"/>
        <v>7.2</v>
      </c>
      <c r="Y34" s="93">
        <f t="shared" si="2"/>
        <v>120</v>
      </c>
      <c r="Z34" s="557"/>
      <c r="AA34" s="559"/>
      <c r="AB34" s="557"/>
      <c r="AC34" s="557"/>
      <c r="AD34" s="553"/>
      <c r="AE34" s="553"/>
      <c r="AH34" s="98"/>
      <c r="AI34" s="99"/>
      <c r="AJ34" s="99"/>
      <c r="AK34" s="99"/>
      <c r="AL34" s="99"/>
      <c r="AM34" s="99"/>
    </row>
    <row r="35" spans="1:39" s="1" customFormat="1" x14ac:dyDescent="0.25">
      <c r="A35" s="588">
        <v>15</v>
      </c>
      <c r="B35" s="554" t="s">
        <v>210</v>
      </c>
      <c r="C35" s="83" t="s">
        <v>237</v>
      </c>
      <c r="D35" s="84">
        <v>6</v>
      </c>
      <c r="E35" s="85"/>
      <c r="F35" s="85"/>
      <c r="G35" s="85"/>
      <c r="H35" s="85"/>
      <c r="I35" s="85"/>
      <c r="J35" s="85"/>
      <c r="K35" s="85"/>
      <c r="L35" s="85"/>
      <c r="M35" s="86">
        <f>SUMIF('Наставни ансамбл'!J14:J220,"Небојша Митровић",'Наставни ансамбл'!R14:R220)</f>
        <v>6</v>
      </c>
      <c r="N35" s="87">
        <f t="shared" si="3"/>
        <v>6</v>
      </c>
      <c r="O35" s="85"/>
      <c r="P35" s="85"/>
      <c r="Q35" s="85"/>
      <c r="R35" s="85"/>
      <c r="S35" s="85"/>
      <c r="T35" s="85"/>
      <c r="U35" s="85"/>
      <c r="V35" s="88">
        <f>SUMIF('Наставни ансамбл'!J14:J220,"Небојша Митровић",'Наставни ансамбл'!S14:S220)</f>
        <v>0</v>
      </c>
      <c r="W35" s="87">
        <f t="shared" si="0"/>
        <v>0</v>
      </c>
      <c r="X35" s="84">
        <f>N35+(W35*0.6)</f>
        <v>6</v>
      </c>
      <c r="Y35" s="89">
        <f t="shared" si="2"/>
        <v>100</v>
      </c>
      <c r="Z35" s="556">
        <f>(X35+X36)/2</f>
        <v>7</v>
      </c>
      <c r="AA35" s="558">
        <f>Z35/D35*100</f>
        <v>116.66666666666667</v>
      </c>
      <c r="AB35" s="556">
        <f>IF(Z35&lt;=D35,Z35,D35)</f>
        <v>6</v>
      </c>
      <c r="AC35" s="556">
        <f>IF(Z35&gt;D35,Z35-D35,0)</f>
        <v>1</v>
      </c>
      <c r="AD35" s="560">
        <v>8</v>
      </c>
      <c r="AE35" s="560">
        <v>7</v>
      </c>
    </row>
    <row r="36" spans="1:39" s="1" customFormat="1" x14ac:dyDescent="0.25">
      <c r="A36" s="588"/>
      <c r="B36" s="555"/>
      <c r="C36" s="90" t="s">
        <v>238</v>
      </c>
      <c r="D36" s="94">
        <v>6</v>
      </c>
      <c r="E36" s="202"/>
      <c r="F36" s="202"/>
      <c r="G36" s="202"/>
      <c r="H36" s="202"/>
      <c r="I36" s="202"/>
      <c r="J36" s="202"/>
      <c r="K36" s="202"/>
      <c r="L36" s="202"/>
      <c r="M36" s="95">
        <f>SUMIF('Наставни ансамбл'!J378:J585,"Небојша Митровић",'Наставни ансамбл'!R378:R585)</f>
        <v>8</v>
      </c>
      <c r="N36" s="87">
        <f t="shared" si="3"/>
        <v>8</v>
      </c>
      <c r="O36" s="96"/>
      <c r="P36" s="96"/>
      <c r="Q36" s="96"/>
      <c r="R36" s="96"/>
      <c r="S36" s="96"/>
      <c r="T36" s="96"/>
      <c r="U36" s="96"/>
      <c r="V36" s="97">
        <f>SUMIF('Наставни ансамбл'!J378:J585,"Небојша Митровић",'Наставни ансамбл'!S378:S585)</f>
        <v>0</v>
      </c>
      <c r="W36" s="87">
        <f t="shared" si="0"/>
        <v>0</v>
      </c>
      <c r="X36" s="91">
        <f>N36+(W36*0.6)</f>
        <v>8</v>
      </c>
      <c r="Y36" s="93">
        <f t="shared" si="2"/>
        <v>133.33333333333331</v>
      </c>
      <c r="Z36" s="557"/>
      <c r="AA36" s="559"/>
      <c r="AB36" s="557"/>
      <c r="AC36" s="557"/>
      <c r="AD36" s="553"/>
      <c r="AE36" s="553"/>
    </row>
    <row r="37" spans="1:39" s="1" customFormat="1" x14ac:dyDescent="0.25">
      <c r="A37" s="588">
        <v>16</v>
      </c>
      <c r="B37" s="554" t="s">
        <v>281</v>
      </c>
      <c r="C37" s="83" t="s">
        <v>237</v>
      </c>
      <c r="D37" s="84">
        <v>6</v>
      </c>
      <c r="E37" s="85"/>
      <c r="F37" s="85"/>
      <c r="G37" s="85"/>
      <c r="H37" s="85"/>
      <c r="I37" s="85"/>
      <c r="J37" s="85"/>
      <c r="K37" s="85"/>
      <c r="L37" s="85"/>
      <c r="M37" s="86">
        <f>SUMIF('Наставни ансамбл'!J14:J220,"Лидија Јовичић",'Наставни ансамбл'!R14:R220)</f>
        <v>6</v>
      </c>
      <c r="N37" s="87">
        <f t="shared" si="3"/>
        <v>6</v>
      </c>
      <c r="O37" s="85"/>
      <c r="P37" s="85"/>
      <c r="Q37" s="85"/>
      <c r="R37" s="85"/>
      <c r="S37" s="85"/>
      <c r="T37" s="85"/>
      <c r="U37" s="85"/>
      <c r="V37" s="88">
        <f>SUMIF('Наставни ансамбл'!J14:J220,"Лидија Јовичић",'Наставни ансамбл'!S14:S220)</f>
        <v>5</v>
      </c>
      <c r="W37" s="87">
        <f>SUM(O37,P37,Q37,R37,V37,U37)</f>
        <v>5</v>
      </c>
      <c r="X37" s="84">
        <f t="shared" si="4"/>
        <v>9</v>
      </c>
      <c r="Y37" s="89">
        <f t="shared" si="2"/>
        <v>150</v>
      </c>
      <c r="Z37" s="556">
        <f>(X37+X38)/2</f>
        <v>7.3</v>
      </c>
      <c r="AA37" s="558">
        <f>Z37/D37*100</f>
        <v>121.66666666666666</v>
      </c>
      <c r="AB37" s="556">
        <f>IF(Z37&lt;=D37,Z37,D37)</f>
        <v>6</v>
      </c>
      <c r="AC37" s="556">
        <f>IF(Z37&gt;D37,Z37-D37,0)</f>
        <v>1.2999999999999998</v>
      </c>
      <c r="AD37" s="560">
        <v>3</v>
      </c>
      <c r="AE37" s="560">
        <v>5</v>
      </c>
    </row>
    <row r="38" spans="1:39" s="1" customFormat="1" x14ac:dyDescent="0.25">
      <c r="A38" s="588"/>
      <c r="B38" s="555"/>
      <c r="C38" s="90" t="s">
        <v>238</v>
      </c>
      <c r="D38" s="94">
        <v>6</v>
      </c>
      <c r="E38" s="202"/>
      <c r="F38" s="202"/>
      <c r="G38" s="202"/>
      <c r="H38" s="202"/>
      <c r="I38" s="202"/>
      <c r="J38" s="202"/>
      <c r="K38" s="202"/>
      <c r="L38" s="202"/>
      <c r="M38" s="95">
        <f>SUMIF('Наставни ансамбл'!J378:J585,"Лидија Јовичић",'Наставни ансамбл'!R378:R585)</f>
        <v>2</v>
      </c>
      <c r="N38" s="87">
        <f t="shared" si="3"/>
        <v>2</v>
      </c>
      <c r="O38" s="96"/>
      <c r="P38" s="96"/>
      <c r="Q38" s="96"/>
      <c r="R38" s="96"/>
      <c r="S38" s="96"/>
      <c r="T38" s="96"/>
      <c r="U38" s="96"/>
      <c r="V38" s="97">
        <f>SUMIF('Наставни ансамбл'!J378:J585,"Лидија Јовичић",'Наставни ансамбл'!S378:S585)</f>
        <v>6</v>
      </c>
      <c r="W38" s="87">
        <f>SUM(O38,P38,Q38,R38,V38,U38)</f>
        <v>6</v>
      </c>
      <c r="X38" s="91">
        <f t="shared" si="4"/>
        <v>5.6</v>
      </c>
      <c r="Y38" s="93">
        <f t="shared" si="2"/>
        <v>93.333333333333329</v>
      </c>
      <c r="Z38" s="557"/>
      <c r="AA38" s="559"/>
      <c r="AB38" s="557"/>
      <c r="AC38" s="557"/>
      <c r="AD38" s="553"/>
      <c r="AE38" s="553"/>
    </row>
    <row r="39" spans="1:39" s="1" customFormat="1" x14ac:dyDescent="0.25">
      <c r="A39" s="588">
        <v>17</v>
      </c>
      <c r="B39" s="554" t="s">
        <v>267</v>
      </c>
      <c r="C39" s="83" t="s">
        <v>237</v>
      </c>
      <c r="D39" s="84">
        <v>6</v>
      </c>
      <c r="E39" s="85"/>
      <c r="F39" s="85"/>
      <c r="G39" s="85"/>
      <c r="H39" s="85"/>
      <c r="I39" s="85"/>
      <c r="J39" s="85"/>
      <c r="K39" s="85"/>
      <c r="L39" s="85"/>
      <c r="M39" s="86">
        <f>SUMIF('Наставни ансамбл'!J14:J220,"Саша Ђукић",'Наставни ансамбл'!R14:R220)</f>
        <v>2</v>
      </c>
      <c r="N39" s="87">
        <f t="shared" si="3"/>
        <v>2</v>
      </c>
      <c r="O39" s="85"/>
      <c r="P39" s="85"/>
      <c r="Q39" s="85"/>
      <c r="R39" s="85"/>
      <c r="S39" s="85"/>
      <c r="T39" s="85"/>
      <c r="U39" s="85"/>
      <c r="V39" s="88">
        <f>SUMIF('Наставни ансамбл'!J14:J220,"Саша Ђукић",'Наставни ансамбл'!S14:S220)</f>
        <v>12</v>
      </c>
      <c r="W39" s="87">
        <f t="shared" ref="W39:W44" si="5">SUM(O39,P39,Q39,R39,V39,U39)</f>
        <v>12</v>
      </c>
      <c r="X39" s="84">
        <f t="shared" si="4"/>
        <v>9.1999999999999993</v>
      </c>
      <c r="Y39" s="89">
        <f t="shared" si="2"/>
        <v>153.33333333333331</v>
      </c>
      <c r="Z39" s="556">
        <f>(X39+X40)/2</f>
        <v>8.6</v>
      </c>
      <c r="AA39" s="558">
        <f>Z39/D39*100</f>
        <v>143.33333333333334</v>
      </c>
      <c r="AB39" s="556">
        <f>IF(Z39&lt;=D39,Z39,D39)</f>
        <v>6</v>
      </c>
      <c r="AC39" s="556">
        <f>IF(Z39&gt;D39,Z39-D39,0)</f>
        <v>2.5999999999999996</v>
      </c>
      <c r="AD39" s="560">
        <v>6</v>
      </c>
      <c r="AE39" s="560">
        <v>6</v>
      </c>
    </row>
    <row r="40" spans="1:39" s="1" customFormat="1" x14ac:dyDescent="0.25">
      <c r="A40" s="588"/>
      <c r="B40" s="555"/>
      <c r="C40" s="90" t="s">
        <v>238</v>
      </c>
      <c r="D40" s="94">
        <v>6</v>
      </c>
      <c r="E40" s="202"/>
      <c r="F40" s="202"/>
      <c r="G40" s="202"/>
      <c r="H40" s="202"/>
      <c r="I40" s="202"/>
      <c r="J40" s="202"/>
      <c r="K40" s="202"/>
      <c r="L40" s="202"/>
      <c r="M40" s="95">
        <f>SUMIF('Наставни ансамбл'!J378:J585,"Саша Ђукић",'Наставни ансамбл'!R378:R585)</f>
        <v>2</v>
      </c>
      <c r="N40" s="87">
        <f t="shared" si="3"/>
        <v>2</v>
      </c>
      <c r="O40" s="96"/>
      <c r="P40" s="96"/>
      <c r="Q40" s="96"/>
      <c r="R40" s="96"/>
      <c r="S40" s="96"/>
      <c r="T40" s="96"/>
      <c r="U40" s="96"/>
      <c r="V40" s="97">
        <f>SUMIF('Наставни ансамбл'!J378:J585,"Саша Ђукић",'Наставни ансамбл'!S378:S585)</f>
        <v>10</v>
      </c>
      <c r="W40" s="87">
        <f t="shared" si="5"/>
        <v>10</v>
      </c>
      <c r="X40" s="91">
        <f t="shared" si="4"/>
        <v>8</v>
      </c>
      <c r="Y40" s="93">
        <f t="shared" si="2"/>
        <v>133.33333333333331</v>
      </c>
      <c r="Z40" s="557"/>
      <c r="AA40" s="559"/>
      <c r="AB40" s="557"/>
      <c r="AC40" s="557"/>
      <c r="AD40" s="553"/>
      <c r="AE40" s="553"/>
    </row>
    <row r="41" spans="1:39" s="1" customFormat="1" x14ac:dyDescent="0.25">
      <c r="A41" s="552">
        <v>18</v>
      </c>
      <c r="B41" s="589" t="s">
        <v>395</v>
      </c>
      <c r="C41" s="83" t="s">
        <v>237</v>
      </c>
      <c r="D41" s="84">
        <v>6</v>
      </c>
      <c r="E41" s="85"/>
      <c r="F41" s="85"/>
      <c r="G41" s="85"/>
      <c r="H41" s="85"/>
      <c r="I41" s="85"/>
      <c r="J41" s="85"/>
      <c r="K41" s="85"/>
      <c r="L41" s="85"/>
      <c r="M41" s="86">
        <f>SUMIF('Наставни ансамбл'!J14:J220,"Весна Вујичић",'Наставни ансамбл'!R14:R220)</f>
        <v>0</v>
      </c>
      <c r="N41" s="87">
        <f t="shared" si="3"/>
        <v>0</v>
      </c>
      <c r="O41" s="85"/>
      <c r="P41" s="85"/>
      <c r="Q41" s="85"/>
      <c r="R41" s="85"/>
      <c r="S41" s="85"/>
      <c r="T41" s="85"/>
      <c r="U41" s="85"/>
      <c r="V41" s="88">
        <f>SUMIF('Наставни ансамбл'!J14:J220,"Весна Вујичић",'Наставни ансамбл'!S14:S220)</f>
        <v>0</v>
      </c>
      <c r="W41" s="87">
        <f t="shared" si="5"/>
        <v>0</v>
      </c>
      <c r="X41" s="105">
        <f t="shared" si="4"/>
        <v>0</v>
      </c>
      <c r="Y41" s="108">
        <f t="shared" si="2"/>
        <v>0</v>
      </c>
      <c r="Z41" s="591">
        <f>(X41+X42)/2</f>
        <v>0</v>
      </c>
      <c r="AA41" s="592">
        <f>Z41/10*100</f>
        <v>0</v>
      </c>
      <c r="AB41" s="556">
        <f>IF(Z41&lt;=D41,Z41,D41)</f>
        <v>0</v>
      </c>
      <c r="AC41" s="556">
        <f>IF(Z41&gt;D41,Z41-D41,0)</f>
        <v>0</v>
      </c>
      <c r="AD41" s="552">
        <v>7</v>
      </c>
      <c r="AE41" s="560">
        <v>6</v>
      </c>
    </row>
    <row r="42" spans="1:39" s="1" customFormat="1" x14ac:dyDescent="0.25">
      <c r="A42" s="553"/>
      <c r="B42" s="590"/>
      <c r="C42" s="90" t="s">
        <v>238</v>
      </c>
      <c r="D42" s="94">
        <v>6</v>
      </c>
      <c r="E42" s="91"/>
      <c r="F42" s="91"/>
      <c r="G42" s="91"/>
      <c r="H42" s="91"/>
      <c r="I42" s="91"/>
      <c r="J42" s="91"/>
      <c r="K42" s="91"/>
      <c r="L42" s="91"/>
      <c r="M42" s="208">
        <f>SUMIF('Наставни ансамбл'!J378:J585,"Весна Вујичић",'Наставни ансамбл'!R378:R585)</f>
        <v>0</v>
      </c>
      <c r="N42" s="87">
        <f t="shared" si="3"/>
        <v>0</v>
      </c>
      <c r="O42" s="85"/>
      <c r="P42" s="85"/>
      <c r="Q42" s="85"/>
      <c r="R42" s="85"/>
      <c r="S42" s="85"/>
      <c r="T42" s="85"/>
      <c r="U42" s="85"/>
      <c r="V42" s="88">
        <f>SUMIF('Наставни ансамбл'!J378:J585,"Весна Вујичић",'Наставни ансамбл'!S378:S585)</f>
        <v>0</v>
      </c>
      <c r="W42" s="87">
        <f t="shared" si="5"/>
        <v>0</v>
      </c>
      <c r="X42" s="109">
        <f t="shared" si="4"/>
        <v>0</v>
      </c>
      <c r="Y42" s="93">
        <f t="shared" si="2"/>
        <v>0</v>
      </c>
      <c r="Z42" s="557"/>
      <c r="AA42" s="559"/>
      <c r="AB42" s="557"/>
      <c r="AC42" s="557"/>
      <c r="AD42" s="553"/>
      <c r="AE42" s="553"/>
    </row>
    <row r="43" spans="1:39" s="1" customFormat="1" x14ac:dyDescent="0.25">
      <c r="A43" s="585">
        <v>19</v>
      </c>
      <c r="B43" s="589" t="s">
        <v>528</v>
      </c>
      <c r="C43" s="83" t="s">
        <v>237</v>
      </c>
      <c r="D43" s="84">
        <v>6</v>
      </c>
      <c r="E43" s="85"/>
      <c r="F43" s="85"/>
      <c r="G43" s="85"/>
      <c r="H43" s="85"/>
      <c r="I43" s="85"/>
      <c r="J43" s="85"/>
      <c r="K43" s="85"/>
      <c r="L43" s="85"/>
      <c r="M43" s="86">
        <f>SUMIF('Наставни ансамбл'!J14:J220,"Слађана Миљеновић",'Наставни ансамбл'!R14:R220)</f>
        <v>3</v>
      </c>
      <c r="N43" s="87">
        <f t="shared" si="3"/>
        <v>3</v>
      </c>
      <c r="O43" s="85"/>
      <c r="P43" s="85"/>
      <c r="Q43" s="85"/>
      <c r="R43" s="85"/>
      <c r="S43" s="85"/>
      <c r="T43" s="85"/>
      <c r="U43" s="85"/>
      <c r="V43" s="88">
        <f>SUMIF('Наставни ансамбл'!J14:J220,"Слађана Миљеновић",'Наставни ансамбл'!S14:S220)</f>
        <v>2</v>
      </c>
      <c r="W43" s="87">
        <f t="shared" si="5"/>
        <v>2</v>
      </c>
      <c r="X43" s="105">
        <f t="shared" si="4"/>
        <v>4.2</v>
      </c>
      <c r="Y43" s="108">
        <f t="shared" si="2"/>
        <v>70</v>
      </c>
      <c r="Z43" s="591">
        <f>(X43+X44)/2</f>
        <v>5.8000000000000007</v>
      </c>
      <c r="AA43" s="592">
        <f>Z43/10*100</f>
        <v>58.000000000000007</v>
      </c>
      <c r="AB43" s="556">
        <f>IF(Z43&lt;=D43,Z43,D43)</f>
        <v>5.8000000000000007</v>
      </c>
      <c r="AC43" s="556">
        <f>IF(Z43&gt;D43,Z43-D43,0)</f>
        <v>0</v>
      </c>
      <c r="AD43" s="552">
        <v>1</v>
      </c>
      <c r="AE43" s="552">
        <v>5</v>
      </c>
    </row>
    <row r="44" spans="1:39" s="1" customFormat="1" x14ac:dyDescent="0.25">
      <c r="A44" s="553"/>
      <c r="B44" s="590"/>
      <c r="C44" s="90" t="s">
        <v>238</v>
      </c>
      <c r="D44" s="94">
        <v>6</v>
      </c>
      <c r="E44" s="91"/>
      <c r="F44" s="91"/>
      <c r="G44" s="91"/>
      <c r="H44" s="91"/>
      <c r="I44" s="91"/>
      <c r="J44" s="91"/>
      <c r="K44" s="91"/>
      <c r="L44" s="91"/>
      <c r="M44" s="208">
        <f>SUMIF('Наставни ансамбл'!J378:J585,"Слађана Миљеновић",'Наставни ансамбл'!R378:R585)</f>
        <v>5</v>
      </c>
      <c r="N44" s="87">
        <f t="shared" si="3"/>
        <v>5</v>
      </c>
      <c r="O44" s="85"/>
      <c r="P44" s="85"/>
      <c r="Q44" s="85"/>
      <c r="R44" s="85"/>
      <c r="S44" s="85"/>
      <c r="T44" s="85"/>
      <c r="U44" s="85"/>
      <c r="V44" s="88">
        <f>SUMIF('Наставни ансамбл'!J378:J585,"Слађана Миљеновић",'Наставни ансамбл'!S378:S585)</f>
        <v>4</v>
      </c>
      <c r="W44" s="87">
        <f t="shared" si="5"/>
        <v>4</v>
      </c>
      <c r="X44" s="109">
        <f t="shared" si="4"/>
        <v>7.4</v>
      </c>
      <c r="Y44" s="93">
        <f t="shared" si="2"/>
        <v>123.33333333333334</v>
      </c>
      <c r="Z44" s="557"/>
      <c r="AA44" s="559"/>
      <c r="AB44" s="557"/>
      <c r="AC44" s="557"/>
      <c r="AD44" s="553"/>
      <c r="AE44" s="553"/>
    </row>
    <row r="45" spans="1:39" s="1" customFormat="1" x14ac:dyDescent="0.25">
      <c r="A45" s="593">
        <v>20</v>
      </c>
      <c r="B45" s="554" t="s">
        <v>529</v>
      </c>
      <c r="C45" s="83" t="s">
        <v>237</v>
      </c>
      <c r="D45" s="84">
        <v>6</v>
      </c>
      <c r="E45" s="85"/>
      <c r="F45" s="85"/>
      <c r="G45" s="85"/>
      <c r="H45" s="85"/>
      <c r="I45" s="85"/>
      <c r="J45" s="85"/>
      <c r="K45" s="85"/>
      <c r="L45" s="85"/>
      <c r="M45" s="86">
        <f>SUMIF('Наставни ансамбл'!J14:J220,"Сузана Бунчић",'Наставни ансамбл'!R14:R220)</f>
        <v>5</v>
      </c>
      <c r="N45" s="87">
        <f t="shared" si="3"/>
        <v>5</v>
      </c>
      <c r="O45" s="85"/>
      <c r="P45" s="85"/>
      <c r="Q45" s="85"/>
      <c r="R45" s="85"/>
      <c r="S45" s="85"/>
      <c r="T45" s="85"/>
      <c r="U45" s="85"/>
      <c r="V45" s="88">
        <f>SUMIF('Наставни ансамбл'!J14:J220,"Сузана Бунчић",'Наставни ансамбл'!S14:S220)</f>
        <v>5</v>
      </c>
      <c r="W45" s="106">
        <f>SUM(F45,L45,O45,P45,Q45,R45,S45,V45,U45)</f>
        <v>5</v>
      </c>
      <c r="X45" s="157">
        <f t="shared" si="4"/>
        <v>8</v>
      </c>
      <c r="Y45" s="108">
        <f>X45/D45*100</f>
        <v>133.33333333333331</v>
      </c>
      <c r="Z45" s="591">
        <f>(X45+X46)/2</f>
        <v>8</v>
      </c>
      <c r="AA45" s="592">
        <f>Z45/10*100</f>
        <v>80</v>
      </c>
      <c r="AB45" s="556">
        <f>IF(Z45&lt;=D45,Z45,D45)</f>
        <v>6</v>
      </c>
      <c r="AC45" s="556">
        <f>IF(Z45&gt;D45,Z45-D45,0)</f>
        <v>2</v>
      </c>
      <c r="AD45" s="552">
        <v>6</v>
      </c>
      <c r="AE45" s="552">
        <v>5</v>
      </c>
    </row>
    <row r="46" spans="1:39" s="1" customFormat="1" x14ac:dyDescent="0.25">
      <c r="A46" s="594"/>
      <c r="B46" s="555"/>
      <c r="C46" s="90" t="s">
        <v>238</v>
      </c>
      <c r="D46" s="94">
        <v>6</v>
      </c>
      <c r="E46" s="91"/>
      <c r="F46" s="91"/>
      <c r="G46" s="91"/>
      <c r="H46" s="91"/>
      <c r="I46" s="91"/>
      <c r="J46" s="91"/>
      <c r="K46" s="91"/>
      <c r="L46" s="91"/>
      <c r="M46" s="208">
        <f>SUMIF('Наставни ансамбл'!J378:J585,"Сузана Бунчић",'Наставни ансамбл'!R378:R585)</f>
        <v>5</v>
      </c>
      <c r="N46" s="87">
        <f t="shared" si="3"/>
        <v>5</v>
      </c>
      <c r="O46" s="85"/>
      <c r="P46" s="85"/>
      <c r="Q46" s="85"/>
      <c r="R46" s="85"/>
      <c r="S46" s="85"/>
      <c r="T46" s="85"/>
      <c r="U46" s="85"/>
      <c r="V46" s="88">
        <f>SUMIF('Наставни ансамбл'!J378:J585,"Сузана Бунчић",'Наставни ансамбл'!S378:S585)</f>
        <v>5</v>
      </c>
      <c r="W46" s="106">
        <f>SUM(F46,O46,P46,Q46,R46,S46,V46,U46)</f>
        <v>5</v>
      </c>
      <c r="X46" s="111">
        <f t="shared" si="4"/>
        <v>8</v>
      </c>
      <c r="Y46" s="93">
        <f>X46/D46*100</f>
        <v>133.33333333333331</v>
      </c>
      <c r="Z46" s="557"/>
      <c r="AA46" s="559"/>
      <c r="AB46" s="557"/>
      <c r="AC46" s="557"/>
      <c r="AD46" s="553"/>
      <c r="AE46" s="553"/>
    </row>
    <row r="47" spans="1:39" s="1" customFormat="1" x14ac:dyDescent="0.25">
      <c r="A47" s="261"/>
      <c r="B47" s="595" t="s">
        <v>251</v>
      </c>
      <c r="C47" s="597" t="s">
        <v>237</v>
      </c>
      <c r="D47" s="598"/>
      <c r="E47" s="262"/>
      <c r="F47" s="262"/>
      <c r="G47" s="262"/>
      <c r="H47" s="262"/>
      <c r="I47" s="262"/>
      <c r="J47" s="262"/>
      <c r="K47" s="262"/>
      <c r="L47" s="262"/>
      <c r="M47" s="257">
        <f>M7+M9+M11+M13+M15+M17+M19+M21+M23+M25+M27+M29+M31+M33+M35+M37+M39+M41+M43+M45</f>
        <v>70</v>
      </c>
      <c r="N47" s="209">
        <f>N7+N9+N11+N13+N15+N17+N19+N21+N23+N25+N27+N29+N31+N33+N35+N37+N39+N41+N43+N45</f>
        <v>80.8</v>
      </c>
      <c r="O47" s="257"/>
      <c r="P47" s="257"/>
      <c r="Q47" s="257"/>
      <c r="R47" s="257"/>
      <c r="S47" s="257"/>
      <c r="T47" s="257"/>
      <c r="U47" s="257"/>
      <c r="V47" s="257">
        <f t="shared" ref="V47:X48" si="6">V7+V9+V11+V13+V15+V17+V19+V21+V23+V25+V27+V29+V31+V33+V35+V37+V39+V41+V43+V45</f>
        <v>66</v>
      </c>
      <c r="W47" s="257">
        <f t="shared" si="6"/>
        <v>66</v>
      </c>
      <c r="X47" s="257">
        <f t="shared" si="6"/>
        <v>120.4</v>
      </c>
      <c r="Y47" s="93"/>
      <c r="Z47" s="599">
        <f>SUM(Z7:Z46)</f>
        <v>136.69999999999999</v>
      </c>
      <c r="AA47" s="101"/>
      <c r="AB47" s="599">
        <f>SUM(AB7:AB46)</f>
        <v>104.4</v>
      </c>
      <c r="AC47" s="599">
        <f>SUM(AC7:AC46)</f>
        <v>32.300000000000004</v>
      </c>
      <c r="AD47" s="552"/>
      <c r="AE47" s="552"/>
      <c r="AH47" s="98"/>
      <c r="AI47" s="99"/>
      <c r="AJ47" s="99"/>
      <c r="AK47" s="99"/>
      <c r="AL47" s="99"/>
      <c r="AM47" s="99"/>
    </row>
    <row r="48" spans="1:39" s="1" customFormat="1" x14ac:dyDescent="0.25">
      <c r="A48" s="261"/>
      <c r="B48" s="596"/>
      <c r="C48" s="601" t="s">
        <v>238</v>
      </c>
      <c r="D48" s="602"/>
      <c r="E48" s="263"/>
      <c r="F48" s="263"/>
      <c r="G48" s="263"/>
      <c r="H48" s="263"/>
      <c r="I48" s="263"/>
      <c r="J48" s="263"/>
      <c r="K48" s="263"/>
      <c r="L48" s="263"/>
      <c r="M48" s="257">
        <f>M8+M10+M12+M14+M16+M18+M20+M22+M24+M26+M28+M30+M32+M34+M36+M38+M40+M42+M44+M46</f>
        <v>90</v>
      </c>
      <c r="N48" s="257">
        <f>N8+N10+N12+N14+N16+N18+N20+N22+N24+N26+N28+N30+N32+N34+N36+N38+N40+N42+N44+N46</f>
        <v>103.2</v>
      </c>
      <c r="O48" s="257"/>
      <c r="P48" s="257"/>
      <c r="Q48" s="257"/>
      <c r="R48" s="257"/>
      <c r="S48" s="257"/>
      <c r="T48" s="257"/>
      <c r="U48" s="257"/>
      <c r="V48" s="257">
        <f t="shared" si="6"/>
        <v>83</v>
      </c>
      <c r="W48" s="257">
        <f t="shared" si="6"/>
        <v>83</v>
      </c>
      <c r="X48" s="257">
        <f t="shared" si="6"/>
        <v>153</v>
      </c>
      <c r="Y48" s="93"/>
      <c r="Z48" s="600"/>
      <c r="AA48" s="101"/>
      <c r="AB48" s="600"/>
      <c r="AC48" s="600"/>
      <c r="AD48" s="583"/>
      <c r="AE48" s="583"/>
      <c r="AH48" s="98"/>
      <c r="AI48" s="99"/>
      <c r="AJ48" s="99"/>
      <c r="AK48" s="99"/>
      <c r="AL48" s="99"/>
      <c r="AM48" s="99"/>
    </row>
    <row r="49" spans="1:31" s="1" customFormat="1" x14ac:dyDescent="0.25">
      <c r="A49" s="100"/>
      <c r="B49" s="102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103"/>
      <c r="Z49" s="100"/>
      <c r="AA49" s="104"/>
      <c r="AB49" s="104"/>
      <c r="AC49" s="104"/>
      <c r="AD49" s="100"/>
      <c r="AE49" s="100"/>
    </row>
    <row r="50" spans="1:31" s="193" customFormat="1" ht="18.75" x14ac:dyDescent="0.3">
      <c r="A50" s="603" t="s">
        <v>252</v>
      </c>
      <c r="B50" s="603"/>
      <c r="C50" s="195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7"/>
      <c r="Z50" s="198"/>
      <c r="AA50" s="199"/>
      <c r="AB50" s="199"/>
      <c r="AC50" s="199"/>
      <c r="AD50" s="198"/>
      <c r="AE50" s="198"/>
    </row>
    <row r="51" spans="1:31" s="1" customFormat="1" x14ac:dyDescent="0.25">
      <c r="A51" s="552">
        <v>21</v>
      </c>
      <c r="B51" s="554" t="s">
        <v>394</v>
      </c>
      <c r="C51" s="83" t="s">
        <v>237</v>
      </c>
      <c r="D51" s="84">
        <v>10</v>
      </c>
      <c r="E51" s="85"/>
      <c r="F51" s="118"/>
      <c r="G51" s="85"/>
      <c r="H51" s="85"/>
      <c r="I51" s="85"/>
      <c r="J51" s="85"/>
      <c r="K51" s="85"/>
      <c r="L51" s="118">
        <v>2</v>
      </c>
      <c r="M51" s="84"/>
      <c r="N51" s="84"/>
      <c r="O51" s="85"/>
      <c r="P51" s="85"/>
      <c r="Q51" s="85"/>
      <c r="R51" s="85"/>
      <c r="S51" s="85"/>
      <c r="T51" s="85"/>
      <c r="U51" s="85"/>
      <c r="V51" s="88">
        <f>SUMIF('Наставни ансамбл'!J14:J220,"Владан Тодић",'Наставни ансамбл'!S14:S220)</f>
        <v>0</v>
      </c>
      <c r="W51" s="106">
        <f>SUM(E51:V51)</f>
        <v>2</v>
      </c>
      <c r="X51" s="109">
        <f t="shared" ref="X51:X64" si="7">W51</f>
        <v>2</v>
      </c>
      <c r="Y51" s="108">
        <f t="shared" ref="Y51:Y64" si="8">X51/D51*100</f>
        <v>20</v>
      </c>
      <c r="Z51" s="591">
        <f>(X51+X52)/2</f>
        <v>1</v>
      </c>
      <c r="AA51" s="592">
        <f>Z51/10*100</f>
        <v>10</v>
      </c>
      <c r="AB51" s="556">
        <f>IF(Z51&lt;=D51,Z51,D51)</f>
        <v>1</v>
      </c>
      <c r="AC51" s="556">
        <f>IF(Z51&gt;D51,Z51-D51,0)</f>
        <v>0</v>
      </c>
      <c r="AD51" s="560">
        <v>5</v>
      </c>
      <c r="AE51" s="560">
        <v>4</v>
      </c>
    </row>
    <row r="52" spans="1:31" s="1" customFormat="1" x14ac:dyDescent="0.25">
      <c r="A52" s="553"/>
      <c r="B52" s="555"/>
      <c r="C52" s="90" t="s">
        <v>238</v>
      </c>
      <c r="D52" s="91">
        <v>10</v>
      </c>
      <c r="E52" s="91"/>
      <c r="F52" s="138"/>
      <c r="G52" s="91"/>
      <c r="H52" s="91"/>
      <c r="I52" s="91"/>
      <c r="J52" s="91"/>
      <c r="K52" s="91"/>
      <c r="L52" s="91"/>
      <c r="M52" s="91"/>
      <c r="N52" s="91"/>
      <c r="O52" s="85"/>
      <c r="P52" s="85"/>
      <c r="Q52" s="85"/>
      <c r="R52" s="85"/>
      <c r="S52" s="118"/>
      <c r="T52" s="85"/>
      <c r="U52" s="85"/>
      <c r="V52" s="88">
        <f>SUMIF('Наставни ансамбл'!J378:J585,"Владан Тодић",'Наставни ансамбл'!S378:S585)</f>
        <v>0</v>
      </c>
      <c r="W52" s="106">
        <f t="shared" ref="W52:W64" si="9">SUM(E52:V52)</f>
        <v>0</v>
      </c>
      <c r="X52" s="109">
        <f t="shared" si="7"/>
        <v>0</v>
      </c>
      <c r="Y52" s="93">
        <f t="shared" si="8"/>
        <v>0</v>
      </c>
      <c r="Z52" s="557"/>
      <c r="AA52" s="559"/>
      <c r="AB52" s="557"/>
      <c r="AC52" s="557"/>
      <c r="AD52" s="553"/>
      <c r="AE52" s="553"/>
    </row>
    <row r="53" spans="1:31" s="1" customFormat="1" ht="13.15" customHeight="1" x14ac:dyDescent="0.25">
      <c r="A53" s="585">
        <v>22</v>
      </c>
      <c r="B53" s="554" t="s">
        <v>542</v>
      </c>
      <c r="C53" s="83" t="s">
        <v>237</v>
      </c>
      <c r="D53" s="84">
        <v>10</v>
      </c>
      <c r="E53" s="85"/>
      <c r="F53" s="85"/>
      <c r="G53" s="85"/>
      <c r="H53" s="85"/>
      <c r="I53" s="85"/>
      <c r="J53" s="85"/>
      <c r="K53" s="85"/>
      <c r="L53" s="85"/>
      <c r="M53" s="84"/>
      <c r="N53" s="84"/>
      <c r="O53" s="85"/>
      <c r="P53" s="85"/>
      <c r="Q53" s="85"/>
      <c r="R53" s="85"/>
      <c r="S53" s="85"/>
      <c r="T53" s="85"/>
      <c r="U53" s="85"/>
      <c r="V53" s="88">
        <f>SUMIF('Наставни ансамбл'!J14:J220,"Рада Голуб",'Наставни ансамбл'!S14:S220)</f>
        <v>0</v>
      </c>
      <c r="W53" s="106">
        <f t="shared" si="9"/>
        <v>0</v>
      </c>
      <c r="X53" s="109">
        <f t="shared" si="7"/>
        <v>0</v>
      </c>
      <c r="Y53" s="108">
        <f t="shared" si="8"/>
        <v>0</v>
      </c>
      <c r="Z53" s="591">
        <f>(X53+X54)/2</f>
        <v>0.5</v>
      </c>
      <c r="AA53" s="592">
        <f>Z53/10*100</f>
        <v>5</v>
      </c>
      <c r="AB53" s="556">
        <f>IF(Z53&lt;=D53,Z53,D53)</f>
        <v>0.5</v>
      </c>
      <c r="AC53" s="556">
        <f>IF(Z53&gt;D53,Z53-D53,0)</f>
        <v>0</v>
      </c>
      <c r="AD53" s="552">
        <v>0</v>
      </c>
      <c r="AE53" s="560">
        <v>0</v>
      </c>
    </row>
    <row r="54" spans="1:31" s="1" customFormat="1" x14ac:dyDescent="0.25">
      <c r="A54" s="553"/>
      <c r="B54" s="555"/>
      <c r="C54" s="90" t="s">
        <v>238</v>
      </c>
      <c r="D54" s="91">
        <v>10</v>
      </c>
      <c r="E54" s="138">
        <v>1</v>
      </c>
      <c r="F54" s="91"/>
      <c r="G54" s="91"/>
      <c r="H54" s="91"/>
      <c r="I54" s="91"/>
      <c r="J54" s="91"/>
      <c r="K54" s="91"/>
      <c r="L54" s="91"/>
      <c r="M54" s="91"/>
      <c r="N54" s="91"/>
      <c r="O54" s="85"/>
      <c r="P54" s="85"/>
      <c r="Q54" s="85"/>
      <c r="R54" s="85"/>
      <c r="S54" s="85"/>
      <c r="T54" s="85"/>
      <c r="U54" s="85"/>
      <c r="V54" s="88">
        <f>SUMIF('Наставни ансамбл'!J378:J585,"Рада Голуб",'Наставни ансамбл'!S378:S585)</f>
        <v>0</v>
      </c>
      <c r="W54" s="106">
        <f t="shared" si="9"/>
        <v>1</v>
      </c>
      <c r="X54" s="109">
        <f t="shared" si="7"/>
        <v>1</v>
      </c>
      <c r="Y54" s="93">
        <f t="shared" si="8"/>
        <v>10</v>
      </c>
      <c r="Z54" s="557"/>
      <c r="AA54" s="559"/>
      <c r="AB54" s="557"/>
      <c r="AC54" s="557"/>
      <c r="AD54" s="553"/>
      <c r="AE54" s="553"/>
    </row>
    <row r="55" spans="1:31" s="1" customFormat="1" x14ac:dyDescent="0.25">
      <c r="A55" s="552">
        <v>23</v>
      </c>
      <c r="B55" s="554" t="s">
        <v>325</v>
      </c>
      <c r="C55" s="83" t="s">
        <v>237</v>
      </c>
      <c r="D55" s="84">
        <v>10</v>
      </c>
      <c r="E55" s="85"/>
      <c r="F55" s="85"/>
      <c r="G55" s="85"/>
      <c r="H55" s="85"/>
      <c r="I55" s="85"/>
      <c r="J55" s="85"/>
      <c r="K55" s="85"/>
      <c r="L55" s="85"/>
      <c r="M55" s="84"/>
      <c r="N55" s="84"/>
      <c r="O55" s="85"/>
      <c r="P55" s="85"/>
      <c r="Q55" s="85"/>
      <c r="R55" s="85"/>
      <c r="S55" s="85"/>
      <c r="T55" s="85"/>
      <c r="U55" s="85"/>
      <c r="V55" s="88">
        <f>SUMIF('Наставни ансамбл'!J14:J220,"Слађана Митровић",'Наставни ансамбл'!S14:S220)</f>
        <v>0</v>
      </c>
      <c r="W55" s="106">
        <f t="shared" si="9"/>
        <v>0</v>
      </c>
      <c r="X55" s="109">
        <f t="shared" si="7"/>
        <v>0</v>
      </c>
      <c r="Y55" s="89">
        <f t="shared" si="8"/>
        <v>0</v>
      </c>
      <c r="Z55" s="556">
        <f>(X55+X56)/2</f>
        <v>0</v>
      </c>
      <c r="AA55" s="558">
        <f>Z55/10*100</f>
        <v>0</v>
      </c>
      <c r="AB55" s="556">
        <f>IF(Z55&lt;=D55,Z55,D55)</f>
        <v>0</v>
      </c>
      <c r="AC55" s="556">
        <f>IF(Z55&gt;D55,Z55-D55,0)</f>
        <v>0</v>
      </c>
      <c r="AD55" s="552">
        <v>2</v>
      </c>
      <c r="AE55" s="560">
        <v>3</v>
      </c>
    </row>
    <row r="56" spans="1:31" s="1" customFormat="1" x14ac:dyDescent="0.25">
      <c r="A56" s="553"/>
      <c r="B56" s="555"/>
      <c r="C56" s="90" t="s">
        <v>238</v>
      </c>
      <c r="D56" s="91">
        <v>10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85"/>
      <c r="P56" s="85"/>
      <c r="Q56" s="85"/>
      <c r="R56" s="85"/>
      <c r="S56" s="85"/>
      <c r="T56" s="85"/>
      <c r="U56" s="85"/>
      <c r="V56" s="88">
        <f>SUMIF('Наставни ансамбл'!J378:J585,"Слађана Митровић",'Наставни ансамбл'!S378:S585)</f>
        <v>0</v>
      </c>
      <c r="W56" s="106">
        <f t="shared" si="9"/>
        <v>0</v>
      </c>
      <c r="X56" s="109">
        <f t="shared" si="7"/>
        <v>0</v>
      </c>
      <c r="Y56" s="93">
        <f t="shared" si="8"/>
        <v>0</v>
      </c>
      <c r="Z56" s="557"/>
      <c r="AA56" s="559"/>
      <c r="AB56" s="557"/>
      <c r="AC56" s="557"/>
      <c r="AD56" s="553"/>
      <c r="AE56" s="604"/>
    </row>
    <row r="57" spans="1:31" s="1" customFormat="1" x14ac:dyDescent="0.25">
      <c r="A57" s="552">
        <v>24</v>
      </c>
      <c r="B57" s="554" t="s">
        <v>323</v>
      </c>
      <c r="C57" s="83" t="s">
        <v>237</v>
      </c>
      <c r="D57" s="84">
        <v>10</v>
      </c>
      <c r="E57" s="85"/>
      <c r="F57" s="85"/>
      <c r="G57" s="85"/>
      <c r="H57" s="85"/>
      <c r="I57" s="85"/>
      <c r="J57" s="85"/>
      <c r="K57" s="85"/>
      <c r="L57" s="85"/>
      <c r="M57" s="84"/>
      <c r="N57" s="84"/>
      <c r="O57" s="85"/>
      <c r="P57" s="85"/>
      <c r="Q57" s="85"/>
      <c r="R57" s="85"/>
      <c r="S57" s="85"/>
      <c r="T57" s="85"/>
      <c r="U57" s="85"/>
      <c r="V57" s="88">
        <f>SUMIF('Наставни ансамбл'!J14:J220,"Дејан Стевић",'Наставни ансамбл'!S14:S220)</f>
        <v>14</v>
      </c>
      <c r="W57" s="106">
        <f t="shared" si="9"/>
        <v>14</v>
      </c>
      <c r="X57" s="109">
        <f t="shared" si="7"/>
        <v>14</v>
      </c>
      <c r="Y57" s="113">
        <f t="shared" si="8"/>
        <v>140</v>
      </c>
      <c r="Z57" s="556">
        <f>(X57+X58)/2</f>
        <v>10.5</v>
      </c>
      <c r="AA57" s="558">
        <f>Z57/10*100</f>
        <v>105</v>
      </c>
      <c r="AB57" s="556">
        <f>IF(Z57&lt;=D57,Z57,D57)</f>
        <v>10</v>
      </c>
      <c r="AC57" s="556">
        <f>IF(Z57&gt;D57,Z57-D57,0)</f>
        <v>0.5</v>
      </c>
      <c r="AD57" s="552">
        <v>7</v>
      </c>
      <c r="AE57" s="552">
        <v>3</v>
      </c>
    </row>
    <row r="58" spans="1:31" s="1" customFormat="1" x14ac:dyDescent="0.25">
      <c r="A58" s="583"/>
      <c r="B58" s="584"/>
      <c r="C58" s="90" t="s">
        <v>238</v>
      </c>
      <c r="D58" s="91">
        <v>10</v>
      </c>
      <c r="E58" s="138"/>
      <c r="F58" s="91"/>
      <c r="G58" s="91"/>
      <c r="H58" s="91"/>
      <c r="I58" s="91"/>
      <c r="J58" s="91"/>
      <c r="K58" s="91"/>
      <c r="L58" s="91"/>
      <c r="M58" s="91"/>
      <c r="N58" s="91"/>
      <c r="O58" s="85"/>
      <c r="P58" s="85"/>
      <c r="Q58" s="85"/>
      <c r="R58" s="85"/>
      <c r="S58" s="85"/>
      <c r="T58" s="85"/>
      <c r="U58" s="85"/>
      <c r="V58" s="88">
        <f>SUMIF('Наставни ансамбл'!J378:J585,"Дејан Стевић",'Наставни ансамбл'!S378:S585)</f>
        <v>7</v>
      </c>
      <c r="W58" s="106">
        <f t="shared" si="9"/>
        <v>7</v>
      </c>
      <c r="X58" s="109">
        <f t="shared" si="7"/>
        <v>7</v>
      </c>
      <c r="Y58" s="93">
        <f t="shared" si="8"/>
        <v>70</v>
      </c>
      <c r="Z58" s="583"/>
      <c r="AA58" s="583"/>
      <c r="AB58" s="583"/>
      <c r="AC58" s="583"/>
      <c r="AD58" s="583"/>
      <c r="AE58" s="583"/>
    </row>
    <row r="59" spans="1:31" s="1" customFormat="1" x14ac:dyDescent="0.25">
      <c r="A59" s="552">
        <v>25</v>
      </c>
      <c r="B59" s="554" t="s">
        <v>384</v>
      </c>
      <c r="C59" s="83" t="s">
        <v>237</v>
      </c>
      <c r="D59" s="84">
        <v>10</v>
      </c>
      <c r="E59" s="85"/>
      <c r="F59" s="85"/>
      <c r="G59" s="85"/>
      <c r="H59" s="85"/>
      <c r="I59" s="85"/>
      <c r="J59" s="85"/>
      <c r="K59" s="85"/>
      <c r="L59" s="85"/>
      <c r="M59" s="84"/>
      <c r="N59" s="84"/>
      <c r="O59" s="85"/>
      <c r="P59" s="85"/>
      <c r="Q59" s="85"/>
      <c r="R59" s="85"/>
      <c r="S59" s="85"/>
      <c r="T59" s="85"/>
      <c r="U59" s="85"/>
      <c r="V59" s="88">
        <f>SUMIF('Наставни ансамбл'!J14:J220,"Добринко Дринић",'Наставни ансамбл'!S14:S220)</f>
        <v>15</v>
      </c>
      <c r="W59" s="106">
        <f t="shared" si="9"/>
        <v>15</v>
      </c>
      <c r="X59" s="109">
        <f t="shared" si="7"/>
        <v>15</v>
      </c>
      <c r="Y59" s="89">
        <f t="shared" si="8"/>
        <v>150</v>
      </c>
      <c r="Z59" s="556">
        <f>(X59+X60)/2</f>
        <v>13</v>
      </c>
      <c r="AA59" s="558">
        <f>Z59/10*100</f>
        <v>130</v>
      </c>
      <c r="AB59" s="556">
        <f>IF(Z59&lt;=D59,Z59,D59)</f>
        <v>10</v>
      </c>
      <c r="AC59" s="556">
        <f>IF(Z59&gt;D59,Z59-D59,0)</f>
        <v>3</v>
      </c>
      <c r="AD59" s="552">
        <v>7</v>
      </c>
      <c r="AE59" s="560">
        <v>4</v>
      </c>
    </row>
    <row r="60" spans="1:31" s="1" customFormat="1" x14ac:dyDescent="0.25">
      <c r="A60" s="553"/>
      <c r="B60" s="555"/>
      <c r="C60" s="90" t="s">
        <v>238</v>
      </c>
      <c r="D60" s="91">
        <v>10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85"/>
      <c r="P60" s="85"/>
      <c r="Q60" s="85"/>
      <c r="R60" s="85"/>
      <c r="S60" s="85"/>
      <c r="T60" s="85"/>
      <c r="U60" s="85"/>
      <c r="V60" s="88">
        <f>SUMIF('Наставни ансамбл'!J378:J585,"Добринко Дринић",'Наставни ансамбл'!S378:S585)</f>
        <v>11</v>
      </c>
      <c r="W60" s="106">
        <f t="shared" si="9"/>
        <v>11</v>
      </c>
      <c r="X60" s="109">
        <f t="shared" si="7"/>
        <v>11</v>
      </c>
      <c r="Y60" s="93">
        <f t="shared" si="8"/>
        <v>110.00000000000001</v>
      </c>
      <c r="Z60" s="557"/>
      <c r="AA60" s="559"/>
      <c r="AB60" s="557"/>
      <c r="AC60" s="557"/>
      <c r="AD60" s="553"/>
      <c r="AE60" s="604"/>
    </row>
    <row r="61" spans="1:31" s="1" customFormat="1" x14ac:dyDescent="0.25">
      <c r="A61" s="552">
        <v>26</v>
      </c>
      <c r="B61" s="554" t="s">
        <v>410</v>
      </c>
      <c r="C61" s="83" t="s">
        <v>237</v>
      </c>
      <c r="D61" s="84">
        <v>10</v>
      </c>
      <c r="E61" s="85"/>
      <c r="F61" s="85"/>
      <c r="G61" s="85"/>
      <c r="H61" s="85"/>
      <c r="I61" s="85"/>
      <c r="J61" s="85"/>
      <c r="K61" s="85"/>
      <c r="L61" s="85"/>
      <c r="M61" s="84"/>
      <c r="N61" s="84"/>
      <c r="O61" s="85"/>
      <c r="P61" s="85"/>
      <c r="Q61" s="85"/>
      <c r="R61" s="85"/>
      <c r="S61" s="85"/>
      <c r="T61" s="85"/>
      <c r="U61" s="85"/>
      <c r="V61" s="88">
        <f>SUMIF('Наставни ансамбл'!J14:J220,"Неда Гаврић",'Наставни ансамбл'!S14:S220)</f>
        <v>4</v>
      </c>
      <c r="W61" s="106">
        <f t="shared" si="9"/>
        <v>4</v>
      </c>
      <c r="X61" s="109">
        <f t="shared" si="7"/>
        <v>4</v>
      </c>
      <c r="Y61" s="89">
        <f t="shared" si="8"/>
        <v>40</v>
      </c>
      <c r="Z61" s="556">
        <f>(X61+X62)/2</f>
        <v>6.5</v>
      </c>
      <c r="AA61" s="558">
        <f>Z61/10*100</f>
        <v>65</v>
      </c>
      <c r="AB61" s="556">
        <f>IF(Z61&lt;=D61,Z61,D61)</f>
        <v>6.5</v>
      </c>
      <c r="AC61" s="556">
        <f>IF(Z61&gt;D61,Z61-D61,0)</f>
        <v>0</v>
      </c>
      <c r="AD61" s="552">
        <v>7</v>
      </c>
      <c r="AE61" s="560">
        <v>4</v>
      </c>
    </row>
    <row r="62" spans="1:31" s="1" customFormat="1" x14ac:dyDescent="0.25">
      <c r="A62" s="553"/>
      <c r="B62" s="555"/>
      <c r="C62" s="90" t="s">
        <v>238</v>
      </c>
      <c r="D62" s="91">
        <v>10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85"/>
      <c r="P62" s="85"/>
      <c r="Q62" s="85"/>
      <c r="R62" s="85"/>
      <c r="S62" s="85"/>
      <c r="T62" s="85"/>
      <c r="U62" s="85"/>
      <c r="V62" s="88">
        <f>SUMIF('Наставни ансамбл'!J378:J585,"Неда Гаврић",'Наставни ансамбл'!S378:S585)</f>
        <v>9</v>
      </c>
      <c r="W62" s="106">
        <f t="shared" si="9"/>
        <v>9</v>
      </c>
      <c r="X62" s="109">
        <f t="shared" si="7"/>
        <v>9</v>
      </c>
      <c r="Y62" s="93">
        <f t="shared" si="8"/>
        <v>90</v>
      </c>
      <c r="Z62" s="557"/>
      <c r="AA62" s="559"/>
      <c r="AB62" s="557"/>
      <c r="AC62" s="557"/>
      <c r="AD62" s="553"/>
      <c r="AE62" s="604"/>
    </row>
    <row r="63" spans="1:31" s="1" customFormat="1" x14ac:dyDescent="0.25">
      <c r="A63" s="552">
        <v>27</v>
      </c>
      <c r="B63" s="554" t="s">
        <v>31</v>
      </c>
      <c r="C63" s="83" t="s">
        <v>237</v>
      </c>
      <c r="D63" s="84">
        <v>10</v>
      </c>
      <c r="E63" s="85"/>
      <c r="F63" s="85"/>
      <c r="G63" s="85"/>
      <c r="H63" s="85"/>
      <c r="I63" s="85"/>
      <c r="J63" s="85"/>
      <c r="K63" s="85"/>
      <c r="L63" s="85"/>
      <c r="M63" s="84"/>
      <c r="N63" s="84"/>
      <c r="O63" s="85"/>
      <c r="P63" s="85"/>
      <c r="Q63" s="85"/>
      <c r="R63" s="85"/>
      <c r="S63" s="85"/>
      <c r="T63" s="85"/>
      <c r="U63" s="85"/>
      <c r="V63" s="88">
        <f>SUMIF('Наставни ансамбл'!J16:J370,"избор у току",'Наставни ансамбл'!S16:S370)</f>
        <v>0</v>
      </c>
      <c r="W63" s="106">
        <f t="shared" si="9"/>
        <v>0</v>
      </c>
      <c r="X63" s="109">
        <f t="shared" si="7"/>
        <v>0</v>
      </c>
      <c r="Y63" s="89">
        <f t="shared" si="8"/>
        <v>0</v>
      </c>
      <c r="Z63" s="556">
        <f>(X63+X64)/2</f>
        <v>0</v>
      </c>
      <c r="AA63" s="558">
        <f>Z63/10*100</f>
        <v>0</v>
      </c>
      <c r="AB63" s="556">
        <f>IF(Z63&lt;=D63,Z63,D63)</f>
        <v>0</v>
      </c>
      <c r="AC63" s="556">
        <f>IF(Z63&gt;D63,Z63-D63,0)</f>
        <v>0</v>
      </c>
      <c r="AD63" s="552">
        <v>7</v>
      </c>
      <c r="AE63" s="560">
        <v>4</v>
      </c>
    </row>
    <row r="64" spans="1:31" s="1" customFormat="1" x14ac:dyDescent="0.25">
      <c r="A64" s="553"/>
      <c r="B64" s="555"/>
      <c r="C64" s="90" t="s">
        <v>238</v>
      </c>
      <c r="D64" s="91">
        <v>10</v>
      </c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85"/>
      <c r="P64" s="85"/>
      <c r="Q64" s="85"/>
      <c r="R64" s="85"/>
      <c r="S64" s="85"/>
      <c r="T64" s="85"/>
      <c r="U64" s="85"/>
      <c r="V64" s="88">
        <f>SUMIF('Наставни ансамбл'!J380:J761,"избор у току",'Наставни ансамбл'!S380:S761)</f>
        <v>0</v>
      </c>
      <c r="W64" s="106">
        <f t="shared" si="9"/>
        <v>0</v>
      </c>
      <c r="X64" s="109">
        <f t="shared" si="7"/>
        <v>0</v>
      </c>
      <c r="Y64" s="93">
        <f t="shared" si="8"/>
        <v>0</v>
      </c>
      <c r="Z64" s="557"/>
      <c r="AA64" s="559"/>
      <c r="AB64" s="557"/>
      <c r="AC64" s="557"/>
      <c r="AD64" s="553"/>
      <c r="AE64" s="604"/>
    </row>
    <row r="65" spans="1:31" s="1" customFormat="1" x14ac:dyDescent="0.25">
      <c r="A65" s="261"/>
      <c r="B65" s="605" t="s">
        <v>251</v>
      </c>
      <c r="C65" s="606" t="s">
        <v>237</v>
      </c>
      <c r="D65" s="606"/>
      <c r="E65" s="260"/>
      <c r="F65" s="260"/>
      <c r="G65" s="260"/>
      <c r="H65" s="260"/>
      <c r="I65" s="260"/>
      <c r="J65" s="260"/>
      <c r="K65" s="260"/>
      <c r="L65" s="260"/>
      <c r="M65" s="260"/>
      <c r="N65" s="257"/>
      <c r="O65" s="257"/>
      <c r="P65" s="257"/>
      <c r="Q65" s="257"/>
      <c r="R65" s="257"/>
      <c r="S65" s="257"/>
      <c r="T65" s="257"/>
      <c r="U65" s="257"/>
      <c r="V65" s="257">
        <f t="shared" ref="V65:X66" si="10">V51+V53+V55+V57+V59+V61</f>
        <v>33</v>
      </c>
      <c r="W65" s="257">
        <f t="shared" si="10"/>
        <v>35</v>
      </c>
      <c r="X65" s="257">
        <f t="shared" si="10"/>
        <v>35</v>
      </c>
      <c r="Y65" s="93"/>
      <c r="Z65" s="607">
        <f>SUM(Z51:Z62)</f>
        <v>31.5</v>
      </c>
      <c r="AA65" s="101"/>
      <c r="AB65" s="607">
        <f>SUM(AB51:AB62)</f>
        <v>28</v>
      </c>
      <c r="AC65" s="607">
        <f>SUM(AC51:AC62)</f>
        <v>3.5</v>
      </c>
      <c r="AD65" s="552"/>
      <c r="AE65" s="552"/>
    </row>
    <row r="66" spans="1:31" s="1" customFormat="1" x14ac:dyDescent="0.25">
      <c r="A66" s="261"/>
      <c r="B66" s="605"/>
      <c r="C66" s="608" t="s">
        <v>238</v>
      </c>
      <c r="D66" s="608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>
        <f t="shared" si="10"/>
        <v>27</v>
      </c>
      <c r="W66" s="257">
        <f t="shared" si="10"/>
        <v>28</v>
      </c>
      <c r="X66" s="257">
        <f t="shared" si="10"/>
        <v>28</v>
      </c>
      <c r="Y66" s="93"/>
      <c r="Z66" s="607"/>
      <c r="AA66" s="101"/>
      <c r="AB66" s="607"/>
      <c r="AC66" s="607"/>
      <c r="AD66" s="583"/>
      <c r="AE66" s="583"/>
    </row>
    <row r="67" spans="1:31" s="1" customFormat="1" x14ac:dyDescent="0.25">
      <c r="A67" s="261"/>
      <c r="B67" s="605" t="s">
        <v>251</v>
      </c>
      <c r="C67" s="606" t="s">
        <v>237</v>
      </c>
      <c r="D67" s="606"/>
      <c r="E67" s="260"/>
      <c r="F67" s="260"/>
      <c r="G67" s="260"/>
      <c r="H67" s="260"/>
      <c r="I67" s="260"/>
      <c r="J67" s="260"/>
      <c r="K67" s="260"/>
      <c r="L67" s="260"/>
      <c r="M67" s="260"/>
      <c r="N67" s="257"/>
      <c r="O67" s="257"/>
      <c r="P67" s="257"/>
      <c r="Q67" s="257"/>
      <c r="R67" s="257"/>
      <c r="S67" s="257"/>
      <c r="T67" s="257"/>
      <c r="U67" s="257"/>
      <c r="V67" s="257">
        <f>SUM(V47+V65)</f>
        <v>99</v>
      </c>
      <c r="W67" s="257">
        <f>SUM(W47+W65)</f>
        <v>101</v>
      </c>
      <c r="X67" s="257">
        <f>SUM(X47+X65)</f>
        <v>155.4</v>
      </c>
      <c r="Y67" s="93"/>
      <c r="Z67" s="607"/>
      <c r="AA67" s="101"/>
      <c r="AB67" s="607"/>
      <c r="AC67" s="607"/>
      <c r="AD67" s="552"/>
      <c r="AE67" s="552"/>
    </row>
    <row r="68" spans="1:31" s="1" customFormat="1" x14ac:dyDescent="0.25">
      <c r="A68" s="261"/>
      <c r="B68" s="605"/>
      <c r="C68" s="608" t="s">
        <v>238</v>
      </c>
      <c r="D68" s="608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>
        <f>V48+V66</f>
        <v>110</v>
      </c>
      <c r="W68" s="257">
        <f>W48+W66</f>
        <v>111</v>
      </c>
      <c r="X68" s="257">
        <f>X48+X66</f>
        <v>181</v>
      </c>
      <c r="Y68" s="93"/>
      <c r="Z68" s="607"/>
      <c r="AA68" s="101"/>
      <c r="AB68" s="607"/>
      <c r="AC68" s="607"/>
      <c r="AD68" s="583"/>
      <c r="AE68" s="583"/>
    </row>
    <row r="69" spans="1:31" s="1" customFormat="1" x14ac:dyDescent="0.25">
      <c r="A69" s="100"/>
      <c r="B69" s="102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103"/>
      <c r="Z69" s="110"/>
      <c r="AA69" s="104"/>
      <c r="AB69" s="104"/>
      <c r="AC69" s="104"/>
      <c r="AD69" s="100"/>
      <c r="AE69" s="100"/>
    </row>
    <row r="70" spans="1:31" s="1" customFormat="1" x14ac:dyDescent="0.25">
      <c r="A70" s="76" t="s">
        <v>253</v>
      </c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X70" s="77"/>
      <c r="Y70" s="77"/>
      <c r="AD70" s="100"/>
      <c r="AE70" s="100"/>
    </row>
    <row r="71" spans="1:31" s="1" customFormat="1" x14ac:dyDescent="0.25"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X71" s="77"/>
      <c r="Y71" s="77"/>
      <c r="AD71" s="100"/>
      <c r="AE71" s="100"/>
    </row>
    <row r="72" spans="1:31" s="1" customFormat="1" x14ac:dyDescent="0.25">
      <c r="A72" s="570" t="s">
        <v>213</v>
      </c>
      <c r="B72" s="570" t="s">
        <v>214</v>
      </c>
      <c r="C72" s="571" t="s">
        <v>215</v>
      </c>
      <c r="D72" s="573" t="s">
        <v>216</v>
      </c>
      <c r="E72" s="258"/>
      <c r="F72" s="258"/>
      <c r="G72" s="258"/>
      <c r="H72" s="258"/>
      <c r="I72" s="258"/>
      <c r="J72" s="258"/>
      <c r="K72" s="258"/>
      <c r="L72" s="258"/>
      <c r="M72" s="258"/>
      <c r="N72" s="548"/>
      <c r="O72" s="255"/>
      <c r="P72" s="255"/>
      <c r="Q72" s="255"/>
      <c r="R72" s="255"/>
      <c r="S72" s="255"/>
      <c r="T72" s="255"/>
      <c r="U72" s="255"/>
      <c r="V72" s="255"/>
      <c r="W72" s="548"/>
      <c r="X72" s="564"/>
      <c r="Y72" s="566"/>
      <c r="Z72" s="564"/>
      <c r="AA72" s="566"/>
      <c r="AB72" s="548" t="s">
        <v>225</v>
      </c>
      <c r="AC72" s="548" t="s">
        <v>226</v>
      </c>
      <c r="AD72" s="550"/>
      <c r="AE72" s="551"/>
    </row>
    <row r="73" spans="1:31" s="1" customFormat="1" x14ac:dyDescent="0.25">
      <c r="A73" s="570"/>
      <c r="B73" s="570"/>
      <c r="C73" s="572"/>
      <c r="D73" s="573"/>
      <c r="E73" s="259"/>
      <c r="F73" s="259"/>
      <c r="G73" s="259"/>
      <c r="H73" s="259"/>
      <c r="I73" s="259"/>
      <c r="J73" s="259"/>
      <c r="K73" s="259"/>
      <c r="L73" s="259"/>
      <c r="M73" s="259"/>
      <c r="N73" s="549"/>
      <c r="O73" s="256"/>
      <c r="P73" s="256"/>
      <c r="Q73" s="256"/>
      <c r="R73" s="256"/>
      <c r="S73" s="256"/>
      <c r="T73" s="256"/>
      <c r="U73" s="256"/>
      <c r="V73" s="256"/>
      <c r="W73" s="549"/>
      <c r="X73" s="565"/>
      <c r="Y73" s="567"/>
      <c r="Z73" s="565"/>
      <c r="AA73" s="567"/>
      <c r="AB73" s="549"/>
      <c r="AC73" s="549"/>
      <c r="AD73" s="78"/>
      <c r="AE73" s="78"/>
    </row>
    <row r="74" spans="1:31" s="1" customFormat="1" x14ac:dyDescent="0.25"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X74" s="77"/>
      <c r="Y74" s="77"/>
      <c r="AD74" s="100"/>
      <c r="AE74" s="100"/>
    </row>
    <row r="75" spans="1:31" s="1" customFormat="1" x14ac:dyDescent="0.25">
      <c r="A75" s="552">
        <v>1</v>
      </c>
      <c r="B75" s="609" t="s">
        <v>405</v>
      </c>
      <c r="C75" s="83" t="s">
        <v>237</v>
      </c>
      <c r="D75" s="84">
        <v>6</v>
      </c>
      <c r="E75" s="84"/>
      <c r="F75" s="84"/>
      <c r="G75" s="84"/>
      <c r="H75" s="84"/>
      <c r="I75" s="84"/>
      <c r="J75" s="84"/>
      <c r="K75" s="84"/>
      <c r="L75" s="84"/>
      <c r="M75" s="86">
        <f>SUMIF('Наставни ансамбл'!J14:J220,"Биљана Марковић",'Наставни ансамбл'!R14:R220)</f>
        <v>2</v>
      </c>
      <c r="N75" s="84"/>
      <c r="O75" s="86"/>
      <c r="P75" s="86"/>
      <c r="Q75" s="86"/>
      <c r="R75" s="86"/>
      <c r="S75" s="86"/>
      <c r="T75" s="86"/>
      <c r="U75" s="86"/>
      <c r="V75" s="340">
        <f>SUMIF('Наставни ансамбл'!J14:J220,"Биљана Марковић",'Наставни ансамбл'!S14:S220)</f>
        <v>0</v>
      </c>
      <c r="W75" s="84"/>
      <c r="X75" s="84">
        <f>M75+(V75*0.6)</f>
        <v>2</v>
      </c>
      <c r="Y75" s="89">
        <f t="shared" ref="Y75:Y108" si="11">X75/D75*100</f>
        <v>33.333333333333329</v>
      </c>
      <c r="Z75" s="556">
        <f>(X75+X76)/2</f>
        <v>2</v>
      </c>
      <c r="AA75" s="558">
        <f>Z75/D75*100</f>
        <v>33.333333333333329</v>
      </c>
      <c r="AB75" s="556" t="s">
        <v>254</v>
      </c>
      <c r="AC75" s="556">
        <f>IF(Z75&gt;D75,Z75-D75,0)</f>
        <v>0</v>
      </c>
      <c r="AD75" s="560">
        <v>1</v>
      </c>
      <c r="AE75" s="560">
        <v>1</v>
      </c>
    </row>
    <row r="76" spans="1:31" s="1" customFormat="1" x14ac:dyDescent="0.25">
      <c r="A76" s="553"/>
      <c r="B76" s="610"/>
      <c r="C76" s="90" t="s">
        <v>238</v>
      </c>
      <c r="D76" s="140">
        <v>6</v>
      </c>
      <c r="E76" s="140"/>
      <c r="F76" s="140"/>
      <c r="G76" s="140"/>
      <c r="H76" s="140"/>
      <c r="I76" s="140"/>
      <c r="J76" s="140"/>
      <c r="K76" s="140"/>
      <c r="L76" s="140"/>
      <c r="M76" s="86">
        <f>SUMIF('Наставни ансамбл'!J378:J585,"Биљана Марковић",'Наставни ансамбл'!R378:R585)</f>
        <v>2</v>
      </c>
      <c r="N76" s="140"/>
      <c r="O76" s="86"/>
      <c r="P76" s="86"/>
      <c r="Q76" s="86"/>
      <c r="R76" s="86"/>
      <c r="S76" s="86"/>
      <c r="T76" s="86"/>
      <c r="U76" s="86"/>
      <c r="V76" s="340">
        <f>SUMIF('Наставни ансамбл'!J378:J585,"Биљана Марковић",'Наставни ансамбл'!S378:S585)</f>
        <v>0</v>
      </c>
      <c r="W76" s="140"/>
      <c r="X76" s="91">
        <f t="shared" ref="X76:X98" si="12">M76+(V76*0.6)</f>
        <v>2</v>
      </c>
      <c r="Y76" s="132">
        <f t="shared" si="11"/>
        <v>33.333333333333329</v>
      </c>
      <c r="Z76" s="557"/>
      <c r="AA76" s="559"/>
      <c r="AB76" s="557"/>
      <c r="AC76" s="557"/>
      <c r="AD76" s="604"/>
      <c r="AE76" s="604"/>
    </row>
    <row r="77" spans="1:31" s="1" customFormat="1" x14ac:dyDescent="0.25">
      <c r="A77" s="585">
        <v>2</v>
      </c>
      <c r="B77" s="611" t="s">
        <v>106</v>
      </c>
      <c r="C77" s="83" t="s">
        <v>237</v>
      </c>
      <c r="D77" s="105">
        <v>6</v>
      </c>
      <c r="E77" s="105"/>
      <c r="F77" s="105"/>
      <c r="G77" s="105"/>
      <c r="H77" s="105"/>
      <c r="I77" s="105"/>
      <c r="J77" s="105"/>
      <c r="K77" s="105"/>
      <c r="L77" s="105"/>
      <c r="M77" s="342">
        <f>SUMIF('Наставни ансамбл'!J14:J220,"Светлана Пелемиш",'Наставни ансамбл'!R14:R220)</f>
        <v>2</v>
      </c>
      <c r="N77" s="105"/>
      <c r="O77" s="112"/>
      <c r="P77" s="112"/>
      <c r="Q77" s="112"/>
      <c r="R77" s="112"/>
      <c r="S77" s="112"/>
      <c r="T77" s="112"/>
      <c r="U77" s="112"/>
      <c r="V77" s="341">
        <f>SUMIF('Наставни ансамбл'!J14:J220,"Светлана Пелемиш",'Наставни ансамбл'!S14:S220)</f>
        <v>2</v>
      </c>
      <c r="W77" s="105"/>
      <c r="X77" s="84">
        <f t="shared" si="12"/>
        <v>3.2</v>
      </c>
      <c r="Y77" s="89">
        <f t="shared" si="11"/>
        <v>53.333333333333336</v>
      </c>
      <c r="Z77" s="591">
        <f>(X77+X78)/2</f>
        <v>3.2</v>
      </c>
      <c r="AA77" s="592">
        <f>Z77/10*100</f>
        <v>32</v>
      </c>
      <c r="AB77" s="556" t="s">
        <v>254</v>
      </c>
      <c r="AC77" s="556">
        <f>IF(Z77&gt;D77,Z77-D77,0)</f>
        <v>0</v>
      </c>
      <c r="AD77" s="585">
        <v>1</v>
      </c>
      <c r="AE77" s="585">
        <v>1</v>
      </c>
    </row>
    <row r="78" spans="1:31" s="1" customFormat="1" ht="15" customHeight="1" x14ac:dyDescent="0.25">
      <c r="A78" s="553"/>
      <c r="B78" s="581"/>
      <c r="C78" s="90" t="s">
        <v>238</v>
      </c>
      <c r="D78" s="131">
        <v>6</v>
      </c>
      <c r="E78" s="131"/>
      <c r="F78" s="131"/>
      <c r="G78" s="131"/>
      <c r="H78" s="131"/>
      <c r="I78" s="131"/>
      <c r="J78" s="131"/>
      <c r="K78" s="131"/>
      <c r="L78" s="131"/>
      <c r="M78" s="86">
        <f>SUMIF('Наставни ансамбл'!J378:J585,"Светлана Пелемиш",'Наставни ансамбл'!R378:R585)</f>
        <v>2</v>
      </c>
      <c r="N78" s="131"/>
      <c r="O78" s="86"/>
      <c r="P78" s="86"/>
      <c r="Q78" s="86"/>
      <c r="R78" s="86"/>
      <c r="S78" s="86"/>
      <c r="T78" s="86"/>
      <c r="U78" s="86"/>
      <c r="V78" s="340">
        <f>SUMIF('Наставни ансамбл'!J378:J585,"Светлана Пелемиш",'Наставни ансамбл'!S378:S585)</f>
        <v>2</v>
      </c>
      <c r="W78" s="131"/>
      <c r="X78" s="91">
        <f t="shared" si="12"/>
        <v>3.2</v>
      </c>
      <c r="Y78" s="132">
        <f t="shared" si="11"/>
        <v>53.333333333333336</v>
      </c>
      <c r="Z78" s="557"/>
      <c r="AA78" s="559"/>
      <c r="AB78" s="557"/>
      <c r="AC78" s="557"/>
      <c r="AD78" s="553"/>
      <c r="AE78" s="553"/>
    </row>
    <row r="79" spans="1:31" s="1" customFormat="1" x14ac:dyDescent="0.25">
      <c r="A79" s="585">
        <v>3</v>
      </c>
      <c r="B79" s="611" t="s">
        <v>110</v>
      </c>
      <c r="C79" s="83" t="s">
        <v>237</v>
      </c>
      <c r="D79" s="105">
        <v>6</v>
      </c>
      <c r="E79" s="105"/>
      <c r="F79" s="105"/>
      <c r="G79" s="105"/>
      <c r="H79" s="105"/>
      <c r="I79" s="105"/>
      <c r="J79" s="105"/>
      <c r="K79" s="105"/>
      <c r="L79" s="105"/>
      <c r="M79" s="112">
        <f>SUMIF('Наставни ансамбл'!J14:J220,"Предраг Катанић",'Наставни ансамбл'!R14:R220)</f>
        <v>2</v>
      </c>
      <c r="N79" s="105"/>
      <c r="O79" s="112"/>
      <c r="P79" s="112"/>
      <c r="Q79" s="112"/>
      <c r="R79" s="112"/>
      <c r="S79" s="112"/>
      <c r="T79" s="112"/>
      <c r="U79" s="112"/>
      <c r="V79" s="341">
        <f>SUMIF('Наставни ансамбл'!J14:J220,"Предраг Катанић",'Наставни ансамбл'!S14:S220)</f>
        <v>0</v>
      </c>
      <c r="W79" s="105"/>
      <c r="X79" s="84">
        <f t="shared" si="12"/>
        <v>2</v>
      </c>
      <c r="Y79" s="89">
        <f t="shared" si="11"/>
        <v>33.333333333333329</v>
      </c>
      <c r="Z79" s="591">
        <f>(X79+X80)/2</f>
        <v>2</v>
      </c>
      <c r="AA79" s="592">
        <f>Z79/10*100</f>
        <v>20</v>
      </c>
      <c r="AB79" s="556" t="s">
        <v>254</v>
      </c>
      <c r="AC79" s="556">
        <f>IF(Z79&gt;D79,Z79-D79,0)</f>
        <v>0</v>
      </c>
      <c r="AD79" s="585">
        <v>2</v>
      </c>
      <c r="AE79" s="585">
        <v>1</v>
      </c>
    </row>
    <row r="80" spans="1:31" s="1" customFormat="1" ht="15" customHeight="1" x14ac:dyDescent="0.25">
      <c r="A80" s="553"/>
      <c r="B80" s="581"/>
      <c r="C80" s="90" t="s">
        <v>238</v>
      </c>
      <c r="D80" s="131">
        <v>6</v>
      </c>
      <c r="E80" s="131"/>
      <c r="F80" s="131"/>
      <c r="G80" s="131"/>
      <c r="H80" s="131"/>
      <c r="I80" s="131"/>
      <c r="J80" s="131"/>
      <c r="K80" s="131"/>
      <c r="L80" s="131"/>
      <c r="M80" s="86">
        <f>SUMIF('Наставни ансамбл'!J378:J585,"Предраг Катанић",'Наставни ансамбл'!R378:R585)</f>
        <v>2</v>
      </c>
      <c r="N80" s="131"/>
      <c r="O80" s="86"/>
      <c r="P80" s="86"/>
      <c r="Q80" s="86"/>
      <c r="R80" s="86"/>
      <c r="S80" s="86"/>
      <c r="T80" s="86"/>
      <c r="U80" s="86"/>
      <c r="V80" s="340">
        <f>SUMIF('Наставни ансамбл'!J378:J585,"Предраг Катанић",'Наставни ансамбл'!S378:S585)</f>
        <v>0</v>
      </c>
      <c r="W80" s="131"/>
      <c r="X80" s="91">
        <f t="shared" si="12"/>
        <v>2</v>
      </c>
      <c r="Y80" s="132">
        <f t="shared" si="11"/>
        <v>33.333333333333329</v>
      </c>
      <c r="Z80" s="557"/>
      <c r="AA80" s="559"/>
      <c r="AB80" s="557"/>
      <c r="AC80" s="557"/>
      <c r="AD80" s="553"/>
      <c r="AE80" s="553"/>
    </row>
    <row r="81" spans="1:31" s="1" customFormat="1" x14ac:dyDescent="0.25">
      <c r="A81" s="585">
        <v>4</v>
      </c>
      <c r="B81" s="612" t="s">
        <v>530</v>
      </c>
      <c r="C81" s="83" t="s">
        <v>237</v>
      </c>
      <c r="D81" s="105">
        <v>6</v>
      </c>
      <c r="E81" s="105"/>
      <c r="F81" s="105"/>
      <c r="G81" s="105"/>
      <c r="H81" s="105"/>
      <c r="I81" s="105"/>
      <c r="J81" s="105"/>
      <c r="K81" s="105"/>
      <c r="L81" s="105"/>
      <c r="M81" s="112">
        <f>SUMIF('Наставни ансамбл'!J14:J220,"Владо Медаковић",'Наставни ансамбл'!R14:R220)</f>
        <v>0</v>
      </c>
      <c r="N81" s="105"/>
      <c r="O81" s="112"/>
      <c r="P81" s="112"/>
      <c r="Q81" s="112"/>
      <c r="R81" s="112"/>
      <c r="S81" s="112"/>
      <c r="T81" s="112"/>
      <c r="U81" s="112"/>
      <c r="V81" s="341">
        <f>SUMIF('Наставни ансамбл'!J14:J220,"Владо Медаковић",'Наставни ансамбл'!S14:S220)</f>
        <v>0</v>
      </c>
      <c r="W81" s="105"/>
      <c r="X81" s="84">
        <f t="shared" si="12"/>
        <v>0</v>
      </c>
      <c r="Y81" s="89">
        <f t="shared" si="11"/>
        <v>0</v>
      </c>
      <c r="Z81" s="591">
        <f>(X81+X82)/2</f>
        <v>1</v>
      </c>
      <c r="AA81" s="592">
        <f>Z81/10*100</f>
        <v>10</v>
      </c>
      <c r="AB81" s="556" t="s">
        <v>254</v>
      </c>
      <c r="AC81" s="556">
        <f>IF(Z81&gt;D81,Z81-D81,0)</f>
        <v>0</v>
      </c>
      <c r="AD81" s="585">
        <v>2</v>
      </c>
      <c r="AE81" s="585">
        <v>1</v>
      </c>
    </row>
    <row r="82" spans="1:31" s="1" customFormat="1" ht="15" customHeight="1" x14ac:dyDescent="0.25">
      <c r="A82" s="553"/>
      <c r="B82" s="610"/>
      <c r="C82" s="90" t="s">
        <v>238</v>
      </c>
      <c r="D82" s="131">
        <v>6</v>
      </c>
      <c r="E82" s="131"/>
      <c r="F82" s="131"/>
      <c r="G82" s="131"/>
      <c r="H82" s="131"/>
      <c r="I82" s="131"/>
      <c r="J82" s="131"/>
      <c r="K82" s="131"/>
      <c r="L82" s="131"/>
      <c r="M82" s="86">
        <f>SUMIF('Наставни ансамбл'!J378:J585,"Владо Медаковић",'Наставни ансамбл'!R378:R585)</f>
        <v>2</v>
      </c>
      <c r="N82" s="131"/>
      <c r="O82" s="86"/>
      <c r="P82" s="86"/>
      <c r="Q82" s="86"/>
      <c r="R82" s="86"/>
      <c r="S82" s="86"/>
      <c r="T82" s="86"/>
      <c r="U82" s="86"/>
      <c r="V82" s="340">
        <f>SUMIF('Наставни ансамбл'!J378:J585,"Владо Медаковић",'Наставни ансамбл'!S378:S585)</f>
        <v>0</v>
      </c>
      <c r="W82" s="131"/>
      <c r="X82" s="91">
        <f t="shared" si="12"/>
        <v>2</v>
      </c>
      <c r="Y82" s="132">
        <f t="shared" si="11"/>
        <v>33.333333333333329</v>
      </c>
      <c r="Z82" s="557"/>
      <c r="AA82" s="559"/>
      <c r="AB82" s="557"/>
      <c r="AC82" s="557"/>
      <c r="AD82" s="553"/>
      <c r="AE82" s="553"/>
    </row>
    <row r="83" spans="1:31" s="1" customFormat="1" x14ac:dyDescent="0.25">
      <c r="A83" s="585">
        <v>5</v>
      </c>
      <c r="B83" s="611" t="s">
        <v>115</v>
      </c>
      <c r="C83" s="83" t="s">
        <v>237</v>
      </c>
      <c r="D83" s="105">
        <v>6</v>
      </c>
      <c r="E83" s="105"/>
      <c r="F83" s="105"/>
      <c r="G83" s="105"/>
      <c r="H83" s="105"/>
      <c r="I83" s="105"/>
      <c r="J83" s="105"/>
      <c r="K83" s="105"/>
      <c r="L83" s="105"/>
      <c r="M83" s="112">
        <f>SUMIF('Наставни ансамбл'!J14:J220,"Слободан Лубура",'Наставни ансамбл'!R14:R220)</f>
        <v>2</v>
      </c>
      <c r="N83" s="105"/>
      <c r="O83" s="112"/>
      <c r="P83" s="112"/>
      <c r="Q83" s="112"/>
      <c r="R83" s="112"/>
      <c r="S83" s="112"/>
      <c r="T83" s="112"/>
      <c r="U83" s="112"/>
      <c r="V83" s="341">
        <f>SUMIF('Наставни ансамбл'!J14:J220,"Слободан Лубура",'Наставни ансамбл'!S14:S220)</f>
        <v>0</v>
      </c>
      <c r="W83" s="105"/>
      <c r="X83" s="84">
        <f t="shared" si="12"/>
        <v>2</v>
      </c>
      <c r="Y83" s="89">
        <f t="shared" si="11"/>
        <v>33.333333333333329</v>
      </c>
      <c r="Z83" s="591">
        <f>(X83+X84)/2</f>
        <v>2</v>
      </c>
      <c r="AA83" s="592">
        <f>Z83/10*100</f>
        <v>20</v>
      </c>
      <c r="AB83" s="556" t="s">
        <v>254</v>
      </c>
      <c r="AC83" s="556">
        <f>IF(Z83&gt;D83,Z83-D83,0)</f>
        <v>0</v>
      </c>
      <c r="AD83" s="585">
        <v>1</v>
      </c>
      <c r="AE83" s="585">
        <v>1</v>
      </c>
    </row>
    <row r="84" spans="1:31" s="1" customFormat="1" ht="15" customHeight="1" x14ac:dyDescent="0.25">
      <c r="A84" s="553"/>
      <c r="B84" s="581"/>
      <c r="C84" s="90" t="s">
        <v>238</v>
      </c>
      <c r="D84" s="131">
        <v>6</v>
      </c>
      <c r="E84" s="131"/>
      <c r="F84" s="131"/>
      <c r="G84" s="131"/>
      <c r="H84" s="131"/>
      <c r="I84" s="131"/>
      <c r="J84" s="131"/>
      <c r="K84" s="131"/>
      <c r="L84" s="131"/>
      <c r="M84" s="86">
        <f>SUMIF('Наставни ансамбл'!J378:J585,"Слободан Лубура",'Наставни ансамбл'!R378:R585)</f>
        <v>2</v>
      </c>
      <c r="N84" s="131"/>
      <c r="O84" s="86"/>
      <c r="P84" s="86"/>
      <c r="Q84" s="86"/>
      <c r="R84" s="86"/>
      <c r="S84" s="86"/>
      <c r="T84" s="86"/>
      <c r="U84" s="86"/>
      <c r="V84" s="340">
        <f>SUMIF('Наставни ансамбл'!J378:J585,"Слободан Лубура",'Наставни ансамбл'!S378:S585)</f>
        <v>0</v>
      </c>
      <c r="W84" s="131"/>
      <c r="X84" s="91">
        <f t="shared" si="12"/>
        <v>2</v>
      </c>
      <c r="Y84" s="132">
        <f t="shared" si="11"/>
        <v>33.333333333333329</v>
      </c>
      <c r="Z84" s="557"/>
      <c r="AA84" s="559"/>
      <c r="AB84" s="557"/>
      <c r="AC84" s="557"/>
      <c r="AD84" s="553"/>
      <c r="AE84" s="553"/>
    </row>
    <row r="85" spans="1:31" s="1" customFormat="1" x14ac:dyDescent="0.25">
      <c r="A85" s="585">
        <v>6</v>
      </c>
      <c r="B85" s="612" t="s">
        <v>200</v>
      </c>
      <c r="C85" s="83" t="s">
        <v>237</v>
      </c>
      <c r="D85" s="105">
        <v>6</v>
      </c>
      <c r="E85" s="105"/>
      <c r="F85" s="105"/>
      <c r="G85" s="105"/>
      <c r="H85" s="105"/>
      <c r="I85" s="105"/>
      <c r="J85" s="105"/>
      <c r="K85" s="105"/>
      <c r="L85" s="105"/>
      <c r="M85" s="112">
        <f>SUMIF('Наставни ансамбл'!J14:J220,"Драгомир Вуковић",'Наставни ансамбл'!R14:R220)</f>
        <v>0</v>
      </c>
      <c r="N85" s="105"/>
      <c r="O85" s="112"/>
      <c r="P85" s="112"/>
      <c r="Q85" s="112"/>
      <c r="R85" s="112"/>
      <c r="S85" s="112"/>
      <c r="T85" s="112"/>
      <c r="U85" s="112"/>
      <c r="V85" s="341">
        <f>SUMIF('Наставни ансамбл'!J14:J220,"Драгомир Вуковић",'Наставни ансамбл'!S14:S220)</f>
        <v>0</v>
      </c>
      <c r="W85" s="105"/>
      <c r="X85" s="84">
        <f t="shared" si="12"/>
        <v>0</v>
      </c>
      <c r="Y85" s="89">
        <f t="shared" si="11"/>
        <v>0</v>
      </c>
      <c r="Z85" s="591">
        <f>(X85+X86)/2</f>
        <v>0</v>
      </c>
      <c r="AA85" s="592">
        <f>Z85/10*100</f>
        <v>0</v>
      </c>
      <c r="AB85" s="556" t="s">
        <v>254</v>
      </c>
      <c r="AC85" s="556">
        <f>IF(Z85&gt;D85,Z85-D85,0)</f>
        <v>0</v>
      </c>
      <c r="AD85" s="585">
        <v>1</v>
      </c>
      <c r="AE85" s="585">
        <v>0</v>
      </c>
    </row>
    <row r="86" spans="1:31" s="1" customFormat="1" ht="15" customHeight="1" x14ac:dyDescent="0.25">
      <c r="A86" s="553"/>
      <c r="B86" s="610"/>
      <c r="C86" s="90" t="s">
        <v>238</v>
      </c>
      <c r="D86" s="131">
        <v>6</v>
      </c>
      <c r="E86" s="131"/>
      <c r="F86" s="131"/>
      <c r="G86" s="131"/>
      <c r="H86" s="131"/>
      <c r="I86" s="131"/>
      <c r="J86" s="131"/>
      <c r="K86" s="131"/>
      <c r="L86" s="131"/>
      <c r="M86" s="86">
        <f>SUMIF('Наставни ансамбл'!J378:J585,"Драгомир Вуковић",'Наставни ансамбл'!R378:R585)</f>
        <v>0</v>
      </c>
      <c r="N86" s="131"/>
      <c r="O86" s="86"/>
      <c r="P86" s="86"/>
      <c r="Q86" s="86"/>
      <c r="R86" s="86"/>
      <c r="S86" s="86"/>
      <c r="T86" s="86"/>
      <c r="U86" s="86"/>
      <c r="V86" s="340">
        <f>SUMIF('Наставни ансамбл'!J378:J585,"Драгомир Вуковић",'Наставни ансамбл'!S378:S585)</f>
        <v>0</v>
      </c>
      <c r="W86" s="131"/>
      <c r="X86" s="91">
        <f t="shared" si="12"/>
        <v>0</v>
      </c>
      <c r="Y86" s="132">
        <f t="shared" si="11"/>
        <v>0</v>
      </c>
      <c r="Z86" s="557"/>
      <c r="AA86" s="559"/>
      <c r="AB86" s="557"/>
      <c r="AC86" s="557"/>
      <c r="AD86" s="553"/>
      <c r="AE86" s="553"/>
    </row>
    <row r="87" spans="1:31" s="1" customFormat="1" ht="15" customHeight="1" x14ac:dyDescent="0.25">
      <c r="A87" s="588">
        <v>7</v>
      </c>
      <c r="B87" s="580" t="s">
        <v>382</v>
      </c>
      <c r="C87" s="83" t="s">
        <v>237</v>
      </c>
      <c r="D87" s="105">
        <v>6</v>
      </c>
      <c r="E87" s="105"/>
      <c r="F87" s="105"/>
      <c r="G87" s="105"/>
      <c r="H87" s="105"/>
      <c r="I87" s="105"/>
      <c r="J87" s="105"/>
      <c r="K87" s="105"/>
      <c r="L87" s="105"/>
      <c r="M87" s="112">
        <f>SUMIF('Наставни ансамбл'!J14:J220,"Слађана Петронић",'Наставни ансамбл'!R14:R220)</f>
        <v>0</v>
      </c>
      <c r="N87" s="105"/>
      <c r="O87" s="112"/>
      <c r="P87" s="112"/>
      <c r="Q87" s="112"/>
      <c r="R87" s="112"/>
      <c r="S87" s="112"/>
      <c r="T87" s="112"/>
      <c r="U87" s="112"/>
      <c r="V87" s="341">
        <f>SUMIF('Наставни ансамбл'!J14:J220,"Слађана Петронић",'Наставни ансамбл'!S14:S220)</f>
        <v>0</v>
      </c>
      <c r="W87" s="105"/>
      <c r="X87" s="84">
        <f t="shared" si="12"/>
        <v>0</v>
      </c>
      <c r="Y87" s="89">
        <f t="shared" si="11"/>
        <v>0</v>
      </c>
      <c r="Z87" s="591">
        <f>(X87+X88)/2</f>
        <v>0</v>
      </c>
      <c r="AA87" s="592">
        <f>Z87/10*100</f>
        <v>0</v>
      </c>
      <c r="AB87" s="556" t="s">
        <v>254</v>
      </c>
      <c r="AC87" s="556">
        <f>IF(Z87&gt;D87,Z87-D87,0)</f>
        <v>0</v>
      </c>
      <c r="AD87" s="585">
        <v>1</v>
      </c>
      <c r="AE87" s="585">
        <v>4</v>
      </c>
    </row>
    <row r="88" spans="1:31" s="1" customFormat="1" ht="15" customHeight="1" x14ac:dyDescent="0.25">
      <c r="A88" s="613"/>
      <c r="B88" s="581"/>
      <c r="C88" s="90" t="s">
        <v>238</v>
      </c>
      <c r="D88" s="131">
        <v>6</v>
      </c>
      <c r="E88" s="131"/>
      <c r="F88" s="131"/>
      <c r="G88" s="131"/>
      <c r="H88" s="131"/>
      <c r="I88" s="131"/>
      <c r="J88" s="131"/>
      <c r="K88" s="131"/>
      <c r="L88" s="131"/>
      <c r="M88" s="112">
        <f>SUMIF('Наставни ансамбл'!J378:J585,"Слађана Петронић",'Наставни ансамбл'!R378:R585)</f>
        <v>0</v>
      </c>
      <c r="N88" s="131"/>
      <c r="O88" s="112"/>
      <c r="P88" s="112"/>
      <c r="Q88" s="112"/>
      <c r="R88" s="112"/>
      <c r="S88" s="112"/>
      <c r="T88" s="112"/>
      <c r="U88" s="112"/>
      <c r="V88" s="341">
        <f>SUMIF('Наставни ансамбл'!J378:J585,"Слађана Петронић",'Наставни ансамбл'!S378:S585)</f>
        <v>0</v>
      </c>
      <c r="W88" s="131"/>
      <c r="X88" s="91">
        <f t="shared" si="12"/>
        <v>0</v>
      </c>
      <c r="Y88" s="132">
        <f t="shared" si="11"/>
        <v>0</v>
      </c>
      <c r="Z88" s="557"/>
      <c r="AA88" s="559"/>
      <c r="AB88" s="557"/>
      <c r="AC88" s="557"/>
      <c r="AD88" s="553"/>
      <c r="AE88" s="553"/>
    </row>
    <row r="89" spans="1:31" s="1" customFormat="1" ht="15" customHeight="1" x14ac:dyDescent="0.25">
      <c r="A89" s="613">
        <v>8</v>
      </c>
      <c r="B89" s="580" t="s">
        <v>279</v>
      </c>
      <c r="C89" s="83" t="s">
        <v>237</v>
      </c>
      <c r="D89" s="105">
        <v>6</v>
      </c>
      <c r="E89" s="105"/>
      <c r="F89" s="105"/>
      <c r="G89" s="105"/>
      <c r="H89" s="105"/>
      <c r="I89" s="105"/>
      <c r="J89" s="105"/>
      <c r="K89" s="105"/>
      <c r="L89" s="105"/>
      <c r="M89" s="112">
        <f>SUMIF('Наставни ансамбл'!J14:J220,"Драга Мастиловић",'Наставни ансамбл'!R14:R220)</f>
        <v>2</v>
      </c>
      <c r="N89" s="105"/>
      <c r="O89" s="112"/>
      <c r="P89" s="112"/>
      <c r="Q89" s="112"/>
      <c r="R89" s="112"/>
      <c r="S89" s="112"/>
      <c r="T89" s="112"/>
      <c r="U89" s="112"/>
      <c r="V89" s="341">
        <f>SUMIF('Наставни ансамбл'!J14:J220,"Драга Мастиловић",'Наставни ансамбл'!S14:S220)</f>
        <v>1</v>
      </c>
      <c r="W89" s="105"/>
      <c r="X89" s="84">
        <f t="shared" si="12"/>
        <v>2.6</v>
      </c>
      <c r="Y89" s="89">
        <f t="shared" si="11"/>
        <v>43.333333333333336</v>
      </c>
      <c r="Z89" s="591">
        <f>(X89+X90)/2</f>
        <v>1.3</v>
      </c>
      <c r="AA89" s="592">
        <f>Z89/10*100</f>
        <v>13</v>
      </c>
      <c r="AB89" s="556" t="s">
        <v>254</v>
      </c>
      <c r="AC89" s="556">
        <f>IF(Z89&gt;D89,Z89-D89,0)</f>
        <v>0</v>
      </c>
      <c r="AD89" s="585">
        <v>1</v>
      </c>
      <c r="AE89" s="585">
        <v>0</v>
      </c>
    </row>
    <row r="90" spans="1:31" s="1" customFormat="1" ht="15" customHeight="1" x14ac:dyDescent="0.25">
      <c r="A90" s="613"/>
      <c r="B90" s="615"/>
      <c r="C90" s="90" t="s">
        <v>238</v>
      </c>
      <c r="D90" s="131">
        <v>6</v>
      </c>
      <c r="E90" s="131"/>
      <c r="F90" s="131"/>
      <c r="G90" s="131"/>
      <c r="H90" s="131"/>
      <c r="I90" s="131"/>
      <c r="J90" s="131"/>
      <c r="K90" s="131"/>
      <c r="L90" s="131"/>
      <c r="M90" s="112">
        <f>SUMIF('Наставни ансамбл'!J378:J585,"Драга Мастиловић",'Наставни ансамбл'!R378:R585)</f>
        <v>0</v>
      </c>
      <c r="N90" s="131"/>
      <c r="O90" s="112"/>
      <c r="P90" s="112"/>
      <c r="Q90" s="112"/>
      <c r="R90" s="112"/>
      <c r="S90" s="112"/>
      <c r="T90" s="112"/>
      <c r="U90" s="112"/>
      <c r="V90" s="341">
        <f>SUMIF('Наставни ансамбл'!J378:J585,"Драга Мастиловић",'Наставни ансамбл'!S378:S585)</f>
        <v>0</v>
      </c>
      <c r="W90" s="131"/>
      <c r="X90" s="91">
        <f t="shared" si="12"/>
        <v>0</v>
      </c>
      <c r="Y90" s="132">
        <f t="shared" si="11"/>
        <v>0</v>
      </c>
      <c r="Z90" s="557"/>
      <c r="AA90" s="559"/>
      <c r="AB90" s="557"/>
      <c r="AC90" s="557"/>
      <c r="AD90" s="553"/>
      <c r="AE90" s="553"/>
    </row>
    <row r="91" spans="1:31" s="1" customFormat="1" ht="15" customHeight="1" x14ac:dyDescent="0.25">
      <c r="A91" s="613">
        <v>9</v>
      </c>
      <c r="B91" s="614" t="s">
        <v>300</v>
      </c>
      <c r="C91" s="83" t="s">
        <v>237</v>
      </c>
      <c r="D91" s="105">
        <v>6</v>
      </c>
      <c r="E91" s="105"/>
      <c r="F91" s="105"/>
      <c r="G91" s="105"/>
      <c r="H91" s="105"/>
      <c r="I91" s="105"/>
      <c r="J91" s="105"/>
      <c r="K91" s="105"/>
      <c r="L91" s="105"/>
      <c r="M91" s="112">
        <f>SUMIF('Наставни ансамбл'!J14:J220,"Стојан Шљука",'Наставни ансамбл'!R14:R220)</f>
        <v>0</v>
      </c>
      <c r="N91" s="105"/>
      <c r="O91" s="112"/>
      <c r="P91" s="112"/>
      <c r="Q91" s="112"/>
      <c r="R91" s="112"/>
      <c r="S91" s="112"/>
      <c r="T91" s="112"/>
      <c r="U91" s="112"/>
      <c r="V91" s="341">
        <f>SUMIF('Наставни ансамбл'!J14:J220,"Стојан Шљука",'Наставни ансамбл'!S14:S220)</f>
        <v>0</v>
      </c>
      <c r="W91" s="105"/>
      <c r="X91" s="84">
        <f t="shared" si="12"/>
        <v>0</v>
      </c>
      <c r="Y91" s="89">
        <f t="shared" si="11"/>
        <v>0</v>
      </c>
      <c r="Z91" s="591">
        <f>(X91+X92)/2</f>
        <v>0</v>
      </c>
      <c r="AA91" s="592">
        <f>Z91/10*100</f>
        <v>0</v>
      </c>
      <c r="AB91" s="556" t="s">
        <v>254</v>
      </c>
      <c r="AC91" s="556">
        <f>IF(Z91&gt;D91,Z91-D91,0)</f>
        <v>0</v>
      </c>
      <c r="AD91" s="585">
        <v>1</v>
      </c>
      <c r="AE91" s="585">
        <v>0</v>
      </c>
    </row>
    <row r="92" spans="1:31" s="1" customFormat="1" ht="15" customHeight="1" x14ac:dyDescent="0.25">
      <c r="A92" s="613"/>
      <c r="B92" s="615"/>
      <c r="C92" s="90" t="s">
        <v>238</v>
      </c>
      <c r="D92" s="131">
        <v>6</v>
      </c>
      <c r="E92" s="131"/>
      <c r="F92" s="131"/>
      <c r="G92" s="131"/>
      <c r="H92" s="131"/>
      <c r="I92" s="131"/>
      <c r="J92" s="131"/>
      <c r="K92" s="131"/>
      <c r="L92" s="131"/>
      <c r="M92" s="112">
        <f>SUMIF('Наставни ансамбл'!J378:J585,"Стојан Шљука",'Наставни ансамбл'!R378:R585)</f>
        <v>0</v>
      </c>
      <c r="N92" s="131"/>
      <c r="O92" s="112"/>
      <c r="P92" s="112"/>
      <c r="Q92" s="112"/>
      <c r="R92" s="112"/>
      <c r="S92" s="112"/>
      <c r="T92" s="112"/>
      <c r="U92" s="112"/>
      <c r="V92" s="341">
        <f>SUMIF('Наставни ансамбл'!J378:J585,"Стојан Шљука",'Наставни ансамбл'!S378:S585)</f>
        <v>0</v>
      </c>
      <c r="W92" s="131"/>
      <c r="X92" s="91">
        <f t="shared" si="12"/>
        <v>0</v>
      </c>
      <c r="Y92" s="132">
        <f t="shared" si="11"/>
        <v>0</v>
      </c>
      <c r="Z92" s="557"/>
      <c r="AA92" s="559"/>
      <c r="AB92" s="557"/>
      <c r="AC92" s="557"/>
      <c r="AD92" s="553"/>
      <c r="AE92" s="553"/>
    </row>
    <row r="93" spans="1:31" s="1" customFormat="1" ht="15" customHeight="1" x14ac:dyDescent="0.25">
      <c r="A93" s="613">
        <v>10</v>
      </c>
      <c r="B93" s="616" t="s">
        <v>322</v>
      </c>
      <c r="C93" s="83" t="s">
        <v>237</v>
      </c>
      <c r="D93" s="105">
        <v>6</v>
      </c>
      <c r="E93" s="105"/>
      <c r="F93" s="105"/>
      <c r="G93" s="105"/>
      <c r="H93" s="105"/>
      <c r="I93" s="105"/>
      <c r="J93" s="105"/>
      <c r="K93" s="105"/>
      <c r="L93" s="105"/>
      <c r="M93" s="112">
        <f>SUMIF('Наставни ансамбл'!J14:J220,"Бранислав Драшковић",'Наставни ансамбл'!R14:R220)</f>
        <v>0</v>
      </c>
      <c r="N93" s="105"/>
      <c r="O93" s="112"/>
      <c r="P93" s="112"/>
      <c r="Q93" s="112"/>
      <c r="R93" s="112"/>
      <c r="S93" s="112"/>
      <c r="T93" s="112"/>
      <c r="U93" s="112"/>
      <c r="V93" s="341">
        <f>SUMIF('Наставни ансамбл'!J14:J220,"Бранислав Драшковић",'Наставни ансамбл'!S14:S220)</f>
        <v>0</v>
      </c>
      <c r="W93" s="105"/>
      <c r="X93" s="84">
        <f t="shared" si="12"/>
        <v>0</v>
      </c>
      <c r="Y93" s="89">
        <f t="shared" si="11"/>
        <v>0</v>
      </c>
      <c r="Z93" s="591">
        <f>(X93+X94)/2</f>
        <v>0</v>
      </c>
      <c r="AA93" s="592">
        <f>Z93/10*100</f>
        <v>0</v>
      </c>
      <c r="AB93" s="556" t="s">
        <v>254</v>
      </c>
      <c r="AC93" s="556">
        <f>IF(Z93&gt;D93,Z93-D93,0)</f>
        <v>0</v>
      </c>
      <c r="AD93" s="585">
        <v>2</v>
      </c>
      <c r="AE93" s="585">
        <v>3</v>
      </c>
    </row>
    <row r="94" spans="1:31" s="1" customFormat="1" ht="15" customHeight="1" x14ac:dyDescent="0.25">
      <c r="A94" s="613"/>
      <c r="B94" s="618"/>
      <c r="C94" s="90" t="s">
        <v>238</v>
      </c>
      <c r="D94" s="131">
        <v>6</v>
      </c>
      <c r="E94" s="131"/>
      <c r="F94" s="131"/>
      <c r="G94" s="131"/>
      <c r="H94" s="131"/>
      <c r="I94" s="131"/>
      <c r="J94" s="131"/>
      <c r="K94" s="131"/>
      <c r="L94" s="131"/>
      <c r="M94" s="112">
        <f>SUMIF('Наставни ансамбл'!J378:J585,"Бранислав Драшковић",'Наставни ансамбл'!R378:R585)</f>
        <v>0</v>
      </c>
      <c r="N94" s="131"/>
      <c r="O94" s="112"/>
      <c r="P94" s="112"/>
      <c r="Q94" s="112"/>
      <c r="R94" s="112"/>
      <c r="S94" s="112"/>
      <c r="T94" s="112"/>
      <c r="U94" s="112"/>
      <c r="V94" s="341">
        <f>SUMIF('Наставни ансамбл'!J378:J585,"Бранислав Драшковић",'Наставни ансамбл'!S378:S585)</f>
        <v>0</v>
      </c>
      <c r="W94" s="131"/>
      <c r="X94" s="91">
        <f t="shared" si="12"/>
        <v>0</v>
      </c>
      <c r="Y94" s="132">
        <f t="shared" si="11"/>
        <v>0</v>
      </c>
      <c r="Z94" s="557"/>
      <c r="AA94" s="559"/>
      <c r="AB94" s="557"/>
      <c r="AC94" s="557"/>
      <c r="AD94" s="553"/>
      <c r="AE94" s="553"/>
    </row>
    <row r="95" spans="1:31" s="1" customFormat="1" ht="15" customHeight="1" x14ac:dyDescent="0.25">
      <c r="A95" s="613">
        <v>11</v>
      </c>
      <c r="B95" s="616" t="s">
        <v>532</v>
      </c>
      <c r="C95" s="83" t="s">
        <v>237</v>
      </c>
      <c r="D95" s="105">
        <v>6</v>
      </c>
      <c r="E95" s="105"/>
      <c r="F95" s="105"/>
      <c r="G95" s="105"/>
      <c r="H95" s="105"/>
      <c r="I95" s="105"/>
      <c r="J95" s="105"/>
      <c r="K95" s="105"/>
      <c r="L95" s="105"/>
      <c r="M95" s="112">
        <f>SUMIF('Наставни ансамбл'!J14:J220,"Живко Ерцег",'Наставни ансамбл'!R14:R220)</f>
        <v>0</v>
      </c>
      <c r="N95" s="105"/>
      <c r="O95" s="112"/>
      <c r="P95" s="112"/>
      <c r="Q95" s="112"/>
      <c r="R95" s="112"/>
      <c r="S95" s="112"/>
      <c r="T95" s="112"/>
      <c r="U95" s="112"/>
      <c r="V95" s="107">
        <f>SUMIF('Наставни ансамбл'!J14:J220,"Живко Ерцег",'Наставни ансамбл'!S14:S220)</f>
        <v>0</v>
      </c>
      <c r="W95" s="105"/>
      <c r="X95" s="344">
        <f t="shared" si="12"/>
        <v>0</v>
      </c>
      <c r="Y95" s="89">
        <f t="shared" si="11"/>
        <v>0</v>
      </c>
      <c r="Z95" s="591">
        <f>(X95+X96)/2</f>
        <v>0</v>
      </c>
      <c r="AA95" s="592">
        <f>Z95/10*100</f>
        <v>0</v>
      </c>
      <c r="AB95" s="556" t="s">
        <v>254</v>
      </c>
      <c r="AC95" s="556">
        <f>IF(Z95&gt;D95,Z95-D95,0)</f>
        <v>0</v>
      </c>
      <c r="AD95" s="585">
        <v>1</v>
      </c>
      <c r="AE95" s="585">
        <v>0</v>
      </c>
    </row>
    <row r="96" spans="1:31" s="1" customFormat="1" ht="15" customHeight="1" x14ac:dyDescent="0.25">
      <c r="A96" s="613"/>
      <c r="B96" s="617"/>
      <c r="C96" s="90" t="s">
        <v>238</v>
      </c>
      <c r="D96" s="131">
        <v>6</v>
      </c>
      <c r="E96" s="131"/>
      <c r="F96" s="131"/>
      <c r="G96" s="131"/>
      <c r="H96" s="131"/>
      <c r="I96" s="131"/>
      <c r="J96" s="131"/>
      <c r="K96" s="131"/>
      <c r="L96" s="131"/>
      <c r="M96" s="112">
        <f>SUMIF('Наставни ансамбл'!J378:J585,"Живко Ерцег",'Наставни ансамбл'!R378:R585)</f>
        <v>0</v>
      </c>
      <c r="N96" s="131"/>
      <c r="O96" s="112"/>
      <c r="P96" s="112"/>
      <c r="Q96" s="112"/>
      <c r="R96" s="112"/>
      <c r="S96" s="112"/>
      <c r="T96" s="112"/>
      <c r="U96" s="112"/>
      <c r="V96" s="107">
        <f>SUMIF('Наставни ансамбл'!J378:J585,"Живко Ерцег",'Наставни ансамбл'!S378:S585)</f>
        <v>0</v>
      </c>
      <c r="W96" s="131"/>
      <c r="X96" s="345">
        <f t="shared" si="12"/>
        <v>0</v>
      </c>
      <c r="Y96" s="132">
        <f t="shared" si="11"/>
        <v>0</v>
      </c>
      <c r="Z96" s="557"/>
      <c r="AA96" s="559"/>
      <c r="AB96" s="557"/>
      <c r="AC96" s="557"/>
      <c r="AD96" s="553"/>
      <c r="AE96" s="553"/>
    </row>
    <row r="97" spans="1:31" s="1" customFormat="1" ht="15" customHeight="1" x14ac:dyDescent="0.25">
      <c r="A97" s="613">
        <v>12</v>
      </c>
      <c r="B97" s="616" t="s">
        <v>403</v>
      </c>
      <c r="C97" s="83" t="s">
        <v>237</v>
      </c>
      <c r="D97" s="105">
        <v>6</v>
      </c>
      <c r="E97" s="105"/>
      <c r="F97" s="105"/>
      <c r="G97" s="105"/>
      <c r="H97" s="105"/>
      <c r="I97" s="105"/>
      <c r="J97" s="105"/>
      <c r="K97" s="105"/>
      <c r="L97" s="105"/>
      <c r="M97" s="112">
        <f>SUMIF('Наставни ансамбл'!J14:J220,"Биљана Ковачевић",'Наставни ансамбл'!R14:R220)</f>
        <v>0</v>
      </c>
      <c r="N97" s="105"/>
      <c r="O97" s="112"/>
      <c r="P97" s="112"/>
      <c r="Q97" s="112"/>
      <c r="R97" s="112"/>
      <c r="S97" s="112"/>
      <c r="T97" s="112"/>
      <c r="U97" s="112"/>
      <c r="V97" s="107">
        <f>SUMIF('Наставни ансамбл'!J14:J220,"Биљана Ковачевић",'Наставни ансамбл'!S14:S220)</f>
        <v>0</v>
      </c>
      <c r="W97" s="105"/>
      <c r="X97" s="344">
        <f t="shared" si="12"/>
        <v>0</v>
      </c>
      <c r="Y97" s="89">
        <f t="shared" si="11"/>
        <v>0</v>
      </c>
      <c r="Z97" s="591">
        <f>(X97+X98)/2</f>
        <v>0</v>
      </c>
      <c r="AA97" s="592">
        <f>Z97/10*100</f>
        <v>0</v>
      </c>
      <c r="AB97" s="556" t="s">
        <v>254</v>
      </c>
      <c r="AC97" s="556">
        <f>IF(Z97&gt;D97,Z97-D97,0)</f>
        <v>0</v>
      </c>
      <c r="AD97" s="585">
        <v>2</v>
      </c>
      <c r="AE97" s="585">
        <v>1</v>
      </c>
    </row>
    <row r="98" spans="1:31" s="1" customFormat="1" ht="15" customHeight="1" x14ac:dyDescent="0.25">
      <c r="A98" s="613"/>
      <c r="B98" s="617"/>
      <c r="C98" s="90" t="s">
        <v>238</v>
      </c>
      <c r="D98" s="131">
        <v>6</v>
      </c>
      <c r="E98" s="131"/>
      <c r="F98" s="131"/>
      <c r="G98" s="131"/>
      <c r="H98" s="131"/>
      <c r="I98" s="131"/>
      <c r="J98" s="131"/>
      <c r="K98" s="131"/>
      <c r="L98" s="131"/>
      <c r="M98" s="112">
        <f>SUMIF('Наставни ансамбл'!J378:J585,"Биљана Ковачевић",'Наставни ансамбл'!R378:R585)</f>
        <v>0</v>
      </c>
      <c r="N98" s="131"/>
      <c r="O98" s="112"/>
      <c r="P98" s="112"/>
      <c r="Q98" s="112"/>
      <c r="R98" s="112"/>
      <c r="S98" s="112"/>
      <c r="T98" s="112"/>
      <c r="U98" s="112"/>
      <c r="V98" s="107">
        <f>SUMIF('Наставни ансамбл'!J378:J585,"Биљана Ковачевић",'Наставни ансамбл'!S378:S585)</f>
        <v>0</v>
      </c>
      <c r="W98" s="131"/>
      <c r="X98" s="345">
        <f t="shared" si="12"/>
        <v>0</v>
      </c>
      <c r="Y98" s="132">
        <f t="shared" si="11"/>
        <v>0</v>
      </c>
      <c r="Z98" s="557"/>
      <c r="AA98" s="559"/>
      <c r="AB98" s="557"/>
      <c r="AC98" s="557"/>
      <c r="AD98" s="553"/>
      <c r="AE98" s="553"/>
    </row>
    <row r="99" spans="1:31" s="1" customFormat="1" ht="15" customHeight="1" x14ac:dyDescent="0.25">
      <c r="A99" s="613">
        <v>13</v>
      </c>
      <c r="B99" s="616" t="s">
        <v>380</v>
      </c>
      <c r="C99" s="83" t="s">
        <v>237</v>
      </c>
      <c r="D99" s="105">
        <v>10</v>
      </c>
      <c r="E99" s="105"/>
      <c r="F99" s="105"/>
      <c r="G99" s="105"/>
      <c r="H99" s="105"/>
      <c r="I99" s="105"/>
      <c r="J99" s="105"/>
      <c r="K99" s="105"/>
      <c r="L99" s="105"/>
      <c r="M99" s="112">
        <f>SUMIF('Наставни ансамбл'!J14:J220,"Никола Кукрић",'Наставни ансамбл'!R14:R220)</f>
        <v>0</v>
      </c>
      <c r="N99" s="105"/>
      <c r="O99" s="112"/>
      <c r="P99" s="112"/>
      <c r="Q99" s="112"/>
      <c r="R99" s="112"/>
      <c r="S99" s="112"/>
      <c r="T99" s="112"/>
      <c r="U99" s="112"/>
      <c r="V99" s="107">
        <f>SUMIF('Наставни ансамбл'!J14:J220,"Никола Кукрић",'Наставни ансамбл'!S14:S220)</f>
        <v>2</v>
      </c>
      <c r="W99" s="105"/>
      <c r="X99" s="344">
        <f t="shared" ref="X99:X108" si="13">SUM(M99,V99)</f>
        <v>2</v>
      </c>
      <c r="Y99" s="89">
        <f t="shared" si="11"/>
        <v>20</v>
      </c>
      <c r="Z99" s="591">
        <f>(X99+X100)/2</f>
        <v>2</v>
      </c>
      <c r="AA99" s="592">
        <f>Z99/10*100</f>
        <v>20</v>
      </c>
      <c r="AB99" s="556" t="s">
        <v>254</v>
      </c>
      <c r="AC99" s="556">
        <f>IF(Z99&gt;D99,Z99-D99,0)</f>
        <v>0</v>
      </c>
      <c r="AD99" s="585">
        <v>1</v>
      </c>
      <c r="AE99" s="585">
        <v>1</v>
      </c>
    </row>
    <row r="100" spans="1:31" s="1" customFormat="1" ht="15" customHeight="1" x14ac:dyDescent="0.25">
      <c r="A100" s="613"/>
      <c r="B100" s="619"/>
      <c r="C100" s="90" t="s">
        <v>238</v>
      </c>
      <c r="D100" s="131">
        <v>10</v>
      </c>
      <c r="E100" s="131"/>
      <c r="F100" s="131"/>
      <c r="G100" s="131"/>
      <c r="H100" s="131"/>
      <c r="I100" s="131"/>
      <c r="J100" s="131"/>
      <c r="K100" s="131"/>
      <c r="L100" s="131"/>
      <c r="M100" s="112">
        <f>SUMIF('Наставни ансамбл'!J378:J585,"Никола Кукрић",'Наставни ансамбл'!R378:R585)</f>
        <v>0</v>
      </c>
      <c r="N100" s="131"/>
      <c r="O100" s="112"/>
      <c r="P100" s="112"/>
      <c r="Q100" s="112"/>
      <c r="R100" s="112"/>
      <c r="S100" s="112"/>
      <c r="T100" s="112"/>
      <c r="U100" s="112"/>
      <c r="V100" s="107">
        <f>SUMIF('Наставни ансамбл'!J378:J585,"Никола Кукрић",'Наставни ансамбл'!S378:S585)</f>
        <v>2</v>
      </c>
      <c r="W100" s="131"/>
      <c r="X100" s="345">
        <f t="shared" si="13"/>
        <v>2</v>
      </c>
      <c r="Y100" s="132">
        <f t="shared" si="11"/>
        <v>20</v>
      </c>
      <c r="Z100" s="557"/>
      <c r="AA100" s="559"/>
      <c r="AB100" s="557"/>
      <c r="AC100" s="557"/>
      <c r="AD100" s="553"/>
      <c r="AE100" s="553"/>
    </row>
    <row r="101" spans="1:31" s="1" customFormat="1" ht="15" customHeight="1" x14ac:dyDescent="0.25">
      <c r="A101" s="613">
        <v>14</v>
      </c>
      <c r="B101" s="616" t="s">
        <v>531</v>
      </c>
      <c r="C101" s="83" t="s">
        <v>237</v>
      </c>
      <c r="D101" s="105">
        <v>10</v>
      </c>
      <c r="E101" s="105"/>
      <c r="F101" s="105"/>
      <c r="G101" s="105"/>
      <c r="H101" s="105"/>
      <c r="I101" s="105"/>
      <c r="J101" s="105"/>
      <c r="K101" s="105"/>
      <c r="L101" s="105"/>
      <c r="M101" s="112">
        <f>SUMIF('Наставни ансамбл'!J14:J220,"Лана Шикуљак",'Наставни ансамбл'!R14:R220)</f>
        <v>0</v>
      </c>
      <c r="N101" s="105"/>
      <c r="O101" s="112"/>
      <c r="P101" s="112"/>
      <c r="Q101" s="112"/>
      <c r="R101" s="112"/>
      <c r="S101" s="112"/>
      <c r="T101" s="112"/>
      <c r="U101" s="112"/>
      <c r="V101" s="107">
        <f>SUMIF('Наставни ансамбл'!J14:J220,"Лана Шикуљак",'Наставни ансамбл'!S14:S220)</f>
        <v>0</v>
      </c>
      <c r="W101" s="105"/>
      <c r="X101" s="344">
        <f t="shared" si="13"/>
        <v>0</v>
      </c>
      <c r="Y101" s="89">
        <f t="shared" si="11"/>
        <v>0</v>
      </c>
      <c r="Z101" s="591">
        <f>(X101+X102)/2</f>
        <v>1</v>
      </c>
      <c r="AA101" s="592">
        <f>Z101/10*100</f>
        <v>10</v>
      </c>
      <c r="AB101" s="556" t="s">
        <v>254</v>
      </c>
      <c r="AC101" s="556">
        <f>IF(Z101&gt;D101,Z101-D101,0)</f>
        <v>0</v>
      </c>
      <c r="AD101" s="585">
        <v>2</v>
      </c>
      <c r="AE101" s="585">
        <v>2</v>
      </c>
    </row>
    <row r="102" spans="1:31" s="1" customFormat="1" ht="15" customHeight="1" x14ac:dyDescent="0.25">
      <c r="A102" s="613"/>
      <c r="B102" s="618"/>
      <c r="C102" s="90" t="s">
        <v>238</v>
      </c>
      <c r="D102" s="131">
        <v>10</v>
      </c>
      <c r="E102" s="131"/>
      <c r="F102" s="131"/>
      <c r="G102" s="131"/>
      <c r="H102" s="131"/>
      <c r="I102" s="131"/>
      <c r="J102" s="131"/>
      <c r="K102" s="131"/>
      <c r="L102" s="131"/>
      <c r="M102" s="112">
        <f>SUMIF('Наставни ансамбл'!J378:J585,"Лана Шикуљак",'Наставни ансамбл'!R378:R585)</f>
        <v>0</v>
      </c>
      <c r="N102" s="131"/>
      <c r="O102" s="112"/>
      <c r="P102" s="112"/>
      <c r="Q102" s="112"/>
      <c r="R102" s="112"/>
      <c r="S102" s="112"/>
      <c r="T102" s="112"/>
      <c r="U102" s="112"/>
      <c r="V102" s="107">
        <f>SUMIF('Наставни ансамбл'!J378:J585,"Лана Шикуљак",'Наставни ансамбл'!S378:S585)</f>
        <v>2</v>
      </c>
      <c r="W102" s="131"/>
      <c r="X102" s="345">
        <f t="shared" si="13"/>
        <v>2</v>
      </c>
      <c r="Y102" s="132">
        <f t="shared" si="11"/>
        <v>20</v>
      </c>
      <c r="Z102" s="557"/>
      <c r="AA102" s="559"/>
      <c r="AB102" s="557"/>
      <c r="AC102" s="557"/>
      <c r="AD102" s="553"/>
      <c r="AE102" s="553"/>
    </row>
    <row r="103" spans="1:31" s="1" customFormat="1" ht="15" customHeight="1" x14ac:dyDescent="0.25">
      <c r="A103" s="620">
        <v>15</v>
      </c>
      <c r="B103" s="616" t="s">
        <v>397</v>
      </c>
      <c r="C103" s="83" t="s">
        <v>237</v>
      </c>
      <c r="D103" s="105">
        <v>10</v>
      </c>
      <c r="E103" s="105"/>
      <c r="F103" s="105"/>
      <c r="G103" s="105"/>
      <c r="H103" s="105"/>
      <c r="I103" s="105"/>
      <c r="J103" s="105"/>
      <c r="K103" s="105"/>
      <c r="L103" s="105"/>
      <c r="M103" s="112">
        <f>SUMIF('Наставни ансамбл'!J14:J220,"Наташа Марић",'Наставни ансамбл'!R14:R220)</f>
        <v>0</v>
      </c>
      <c r="N103" s="105"/>
      <c r="O103" s="112"/>
      <c r="P103" s="112"/>
      <c r="Q103" s="112"/>
      <c r="R103" s="112"/>
      <c r="S103" s="112"/>
      <c r="T103" s="112"/>
      <c r="U103" s="112"/>
      <c r="V103" s="107">
        <f>SUMIF('Наставни ансамбл'!J14:J220,"Наташа Марић",'Наставни ансамбл'!S14:S220)</f>
        <v>0</v>
      </c>
      <c r="W103" s="105"/>
      <c r="X103" s="344">
        <f t="shared" si="13"/>
        <v>0</v>
      </c>
      <c r="Y103" s="89">
        <f t="shared" si="11"/>
        <v>0</v>
      </c>
      <c r="Z103" s="591">
        <f>(X103+X104)/2</f>
        <v>0</v>
      </c>
      <c r="AA103" s="592">
        <f>Z103/10*100</f>
        <v>0</v>
      </c>
      <c r="AB103" s="556" t="s">
        <v>254</v>
      </c>
      <c r="AC103" s="556">
        <f>IF(Z103&gt;D103,Z103-D103,0)</f>
        <v>0</v>
      </c>
      <c r="AD103" s="585">
        <v>0</v>
      </c>
      <c r="AE103" s="585">
        <v>2</v>
      </c>
    </row>
    <row r="104" spans="1:31" s="1" customFormat="1" ht="15" customHeight="1" x14ac:dyDescent="0.25">
      <c r="A104" s="583"/>
      <c r="B104" s="619"/>
      <c r="C104" s="90" t="s">
        <v>238</v>
      </c>
      <c r="D104" s="131">
        <v>10</v>
      </c>
      <c r="E104" s="131"/>
      <c r="F104" s="131"/>
      <c r="G104" s="131"/>
      <c r="H104" s="131"/>
      <c r="I104" s="131"/>
      <c r="J104" s="131"/>
      <c r="K104" s="131"/>
      <c r="L104" s="131"/>
      <c r="M104" s="112">
        <f>SUMIF('Наставни ансамбл'!J378:J585,"Наташа Марић",'Наставни ансамбл'!R378:R585)</f>
        <v>0</v>
      </c>
      <c r="N104" s="131"/>
      <c r="O104" s="112"/>
      <c r="P104" s="112"/>
      <c r="Q104" s="112"/>
      <c r="R104" s="112"/>
      <c r="S104" s="112"/>
      <c r="T104" s="112"/>
      <c r="U104" s="112"/>
      <c r="V104" s="107">
        <f>SUMIF('Наставни ансамбл'!J378:J585,"Наташа Марић",'Наставни ансамбл'!S378:S585)</f>
        <v>0</v>
      </c>
      <c r="W104" s="131"/>
      <c r="X104" s="345">
        <f t="shared" si="13"/>
        <v>0</v>
      </c>
      <c r="Y104" s="132">
        <f t="shared" si="11"/>
        <v>0</v>
      </c>
      <c r="Z104" s="557"/>
      <c r="AA104" s="559"/>
      <c r="AB104" s="557"/>
      <c r="AC104" s="557"/>
      <c r="AD104" s="553"/>
      <c r="AE104" s="553"/>
    </row>
    <row r="105" spans="1:31" s="1" customFormat="1" ht="15" customHeight="1" x14ac:dyDescent="0.25">
      <c r="A105" s="613">
        <v>16</v>
      </c>
      <c r="B105" s="616" t="s">
        <v>326</v>
      </c>
      <c r="C105" s="83" t="s">
        <v>237</v>
      </c>
      <c r="D105" s="105">
        <v>10</v>
      </c>
      <c r="E105" s="105"/>
      <c r="F105" s="105"/>
      <c r="G105" s="105"/>
      <c r="H105" s="105"/>
      <c r="I105" s="105"/>
      <c r="J105" s="105"/>
      <c r="K105" s="105"/>
      <c r="L105" s="105"/>
      <c r="M105" s="112">
        <f>SUMIF('Наставни ансамбл'!J14:J220,"Раде Божић",'Наставни ансамбл'!R14:R220)</f>
        <v>0</v>
      </c>
      <c r="N105" s="105"/>
      <c r="O105" s="112"/>
      <c r="P105" s="112"/>
      <c r="Q105" s="112"/>
      <c r="R105" s="112"/>
      <c r="S105" s="112"/>
      <c r="T105" s="112"/>
      <c r="U105" s="112"/>
      <c r="V105" s="107">
        <f>SUMIF('Наставни ансамбл'!J14:J220,"Раде Божић",'Наставни ансамбл'!S14:S220)</f>
        <v>0</v>
      </c>
      <c r="W105" s="105"/>
      <c r="X105" s="346">
        <f t="shared" si="13"/>
        <v>0</v>
      </c>
      <c r="Y105" s="89">
        <f t="shared" si="11"/>
        <v>0</v>
      </c>
      <c r="Z105" s="591">
        <f>(X105+X106)/2</f>
        <v>1</v>
      </c>
      <c r="AA105" s="592">
        <f>Z105/10*100</f>
        <v>10</v>
      </c>
      <c r="AB105" s="556" t="s">
        <v>254</v>
      </c>
      <c r="AC105" s="556">
        <f>IF(Z105&gt;D105,Z105-D105,0)</f>
        <v>0</v>
      </c>
      <c r="AD105" s="585">
        <v>0</v>
      </c>
      <c r="AE105" s="585">
        <v>1</v>
      </c>
    </row>
    <row r="106" spans="1:31" s="1" customFormat="1" ht="15" customHeight="1" x14ac:dyDescent="0.25">
      <c r="A106" s="613"/>
      <c r="B106" s="618"/>
      <c r="C106" s="90" t="s">
        <v>238</v>
      </c>
      <c r="D106" s="131">
        <v>10</v>
      </c>
      <c r="E106" s="131"/>
      <c r="F106" s="131"/>
      <c r="G106" s="131"/>
      <c r="H106" s="131"/>
      <c r="I106" s="131"/>
      <c r="J106" s="131"/>
      <c r="K106" s="131"/>
      <c r="L106" s="131"/>
      <c r="M106" s="112">
        <f>SUMIF('Наставни ансамбл'!J378:J585,"Раде Божић",'Наставни ансамбл'!R378:R585)</f>
        <v>0</v>
      </c>
      <c r="N106" s="131"/>
      <c r="O106" s="112"/>
      <c r="P106" s="112"/>
      <c r="Q106" s="112"/>
      <c r="R106" s="112"/>
      <c r="S106" s="112"/>
      <c r="T106" s="112"/>
      <c r="U106" s="112"/>
      <c r="V106" s="107">
        <f>SUMIF('Наставни ансамбл'!J378:J585,"Раде Божић",'Наставни ансамбл'!S378:S585)</f>
        <v>2</v>
      </c>
      <c r="W106" s="131"/>
      <c r="X106" s="345">
        <f t="shared" si="13"/>
        <v>2</v>
      </c>
      <c r="Y106" s="132">
        <f t="shared" si="11"/>
        <v>20</v>
      </c>
      <c r="Z106" s="557"/>
      <c r="AA106" s="559"/>
      <c r="AB106" s="557"/>
      <c r="AC106" s="557"/>
      <c r="AD106" s="553"/>
      <c r="AE106" s="553"/>
    </row>
    <row r="107" spans="1:31" s="1" customFormat="1" ht="15" customHeight="1" x14ac:dyDescent="0.25">
      <c r="A107" s="613">
        <v>17</v>
      </c>
      <c r="B107" s="616" t="s">
        <v>412</v>
      </c>
      <c r="C107" s="83" t="s">
        <v>237</v>
      </c>
      <c r="D107" s="105">
        <v>10</v>
      </c>
      <c r="E107" s="105"/>
      <c r="F107" s="105"/>
      <c r="G107" s="105"/>
      <c r="H107" s="105"/>
      <c r="I107" s="105"/>
      <c r="J107" s="105"/>
      <c r="K107" s="105"/>
      <c r="L107" s="105"/>
      <c r="M107" s="112">
        <f>SUMIF('Наставни ансамбл'!J14:J220,"Миломирка Обреновић",'Наставни ансамбл'!R14:R220)</f>
        <v>0</v>
      </c>
      <c r="N107" s="105"/>
      <c r="O107" s="112"/>
      <c r="P107" s="112"/>
      <c r="Q107" s="112"/>
      <c r="R107" s="112"/>
      <c r="S107" s="112"/>
      <c r="T107" s="112"/>
      <c r="U107" s="112"/>
      <c r="V107" s="107">
        <f>SUMIF('Наставни ансамбл'!J14:J220,"Миломирка Обреновић",'Наставни ансамбл'!S14:S220)</f>
        <v>2</v>
      </c>
      <c r="W107" s="105"/>
      <c r="X107" s="344">
        <f t="shared" si="13"/>
        <v>2</v>
      </c>
      <c r="Y107" s="89">
        <f t="shared" si="11"/>
        <v>20</v>
      </c>
      <c r="Z107" s="591">
        <f>(X107+X108)/2</f>
        <v>2</v>
      </c>
      <c r="AA107" s="592">
        <f>Z107/10*100</f>
        <v>20</v>
      </c>
      <c r="AB107" s="556" t="s">
        <v>254</v>
      </c>
      <c r="AC107" s="556">
        <f>IF(Z107&gt;D107,Z107-D107,0)</f>
        <v>0</v>
      </c>
      <c r="AD107" s="585">
        <v>0</v>
      </c>
      <c r="AE107" s="585">
        <v>1</v>
      </c>
    </row>
    <row r="108" spans="1:31" s="1" customFormat="1" ht="15" customHeight="1" x14ac:dyDescent="0.25">
      <c r="A108" s="613"/>
      <c r="B108" s="618"/>
      <c r="C108" s="90" t="s">
        <v>238</v>
      </c>
      <c r="D108" s="131">
        <v>10</v>
      </c>
      <c r="E108" s="131"/>
      <c r="F108" s="131"/>
      <c r="G108" s="131"/>
      <c r="H108" s="131"/>
      <c r="I108" s="131"/>
      <c r="J108" s="131"/>
      <c r="K108" s="131"/>
      <c r="L108" s="131"/>
      <c r="M108" s="112">
        <f>SUMIF('Наставни ансамбл'!J378:J585,"Миломирка Обреновић",'Наставни ансамбл'!R378:R585)</f>
        <v>0</v>
      </c>
      <c r="N108" s="131"/>
      <c r="O108" s="112"/>
      <c r="P108" s="112"/>
      <c r="Q108" s="112"/>
      <c r="R108" s="112"/>
      <c r="S108" s="112"/>
      <c r="T108" s="112"/>
      <c r="U108" s="112"/>
      <c r="V108" s="107">
        <f>SUMIF('Наставни ансамбл'!J378:J585,"Миломирка Обреновић",'Наставни ансамбл'!S378:S585)</f>
        <v>2</v>
      </c>
      <c r="W108" s="131"/>
      <c r="X108" s="345">
        <f t="shared" si="13"/>
        <v>2</v>
      </c>
      <c r="Y108" s="132">
        <f t="shared" si="11"/>
        <v>20</v>
      </c>
      <c r="Z108" s="557"/>
      <c r="AA108" s="559"/>
      <c r="AB108" s="557"/>
      <c r="AC108" s="557"/>
      <c r="AD108" s="553"/>
      <c r="AE108" s="553"/>
    </row>
    <row r="109" spans="1:31" s="1" customFormat="1" ht="15" customHeight="1" x14ac:dyDescent="0.25">
      <c r="A109" s="114"/>
      <c r="B109" s="605" t="s">
        <v>251</v>
      </c>
      <c r="C109" s="606" t="s">
        <v>237</v>
      </c>
      <c r="D109" s="606"/>
      <c r="E109" s="260"/>
      <c r="F109" s="260"/>
      <c r="G109" s="260"/>
      <c r="H109" s="260"/>
      <c r="I109" s="260"/>
      <c r="J109" s="260"/>
      <c r="K109" s="260"/>
      <c r="L109" s="260"/>
      <c r="M109" s="260">
        <f>SUM(M75,M77,M79,M81,M83,M85,M87,M89,M91,M93,M95,M97,M99,M101,M103,M105,M107)</f>
        <v>10</v>
      </c>
      <c r="N109" s="260"/>
      <c r="O109" s="260">
        <f t="shared" ref="O109:U109" si="14">SUM(O75,O77,O79,O81,O83,O85,O87,O89,O91,O93,O95,O97,O99,O101,O103,O105,O107)</f>
        <v>0</v>
      </c>
      <c r="P109" s="260">
        <f t="shared" si="14"/>
        <v>0</v>
      </c>
      <c r="Q109" s="260">
        <f t="shared" si="14"/>
        <v>0</v>
      </c>
      <c r="R109" s="260">
        <f t="shared" si="14"/>
        <v>0</v>
      </c>
      <c r="S109" s="260">
        <f t="shared" si="14"/>
        <v>0</v>
      </c>
      <c r="T109" s="260">
        <f t="shared" si="14"/>
        <v>0</v>
      </c>
      <c r="U109" s="260">
        <f t="shared" si="14"/>
        <v>0</v>
      </c>
      <c r="V109" s="260">
        <f>SUM(V75,V77,V79,V81,V83,V85,V87,V89,V91,V93,V95,V97,V99,V101,V103,V105,V107)</f>
        <v>7</v>
      </c>
      <c r="W109" s="257"/>
      <c r="X109" s="115"/>
      <c r="Y109" s="103"/>
      <c r="Z109" s="110"/>
      <c r="AA109" s="104"/>
      <c r="AB109" s="110"/>
      <c r="AC109" s="110"/>
      <c r="AD109" s="100"/>
      <c r="AE109" s="100"/>
    </row>
    <row r="110" spans="1:31" s="1" customFormat="1" ht="15" customHeight="1" x14ac:dyDescent="0.25">
      <c r="A110" s="116"/>
      <c r="B110" s="605"/>
      <c r="C110" s="608" t="s">
        <v>238</v>
      </c>
      <c r="D110" s="608"/>
      <c r="E110" s="257"/>
      <c r="F110" s="257"/>
      <c r="G110" s="257"/>
      <c r="H110" s="257"/>
      <c r="I110" s="257"/>
      <c r="J110" s="257"/>
      <c r="K110" s="257"/>
      <c r="L110" s="257"/>
      <c r="M110" s="257">
        <f>SUM(M76,M78,M80,M82,M84,M86,M88,M90,M92,M94,M96,M98,M100,M102,M104,M106,M108)</f>
        <v>10</v>
      </c>
      <c r="N110" s="257"/>
      <c r="O110" s="257">
        <f t="shared" ref="O110:V110" si="15">SUM(O76,O78,O80,O82,O84,O86,O88,O90,O92,O94,O96,O98,O100,O102,O104,O106,O108)</f>
        <v>0</v>
      </c>
      <c r="P110" s="257">
        <f t="shared" si="15"/>
        <v>0</v>
      </c>
      <c r="Q110" s="257">
        <f t="shared" si="15"/>
        <v>0</v>
      </c>
      <c r="R110" s="257">
        <f t="shared" si="15"/>
        <v>0</v>
      </c>
      <c r="S110" s="257">
        <f t="shared" si="15"/>
        <v>0</v>
      </c>
      <c r="T110" s="257">
        <f t="shared" si="15"/>
        <v>0</v>
      </c>
      <c r="U110" s="257">
        <f t="shared" si="15"/>
        <v>0</v>
      </c>
      <c r="V110" s="257">
        <f t="shared" si="15"/>
        <v>10</v>
      </c>
      <c r="W110" s="257"/>
      <c r="X110" s="117"/>
      <c r="Y110" s="103"/>
      <c r="Z110" s="110"/>
      <c r="AA110" s="104"/>
      <c r="AB110" s="110"/>
      <c r="AC110" s="110"/>
      <c r="AD110" s="100"/>
      <c r="AE110" s="100"/>
    </row>
    <row r="111" spans="1:31" s="1" customFormat="1" x14ac:dyDescent="0.25">
      <c r="A111" s="100"/>
      <c r="B111" s="102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103"/>
      <c r="Z111" s="100"/>
      <c r="AA111" s="104"/>
      <c r="AB111" s="104"/>
      <c r="AC111" s="104"/>
      <c r="AD111" s="100"/>
      <c r="AE111" s="100"/>
    </row>
    <row r="112" spans="1:31" s="1" customFormat="1" x14ac:dyDescent="0.25">
      <c r="A112" s="76" t="s">
        <v>255</v>
      </c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X112" s="77"/>
      <c r="Y112" s="77"/>
      <c r="AD112" s="100"/>
      <c r="AE112" s="100"/>
    </row>
    <row r="113" spans="1:31" s="1" customFormat="1" x14ac:dyDescent="0.25"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X113" s="77"/>
      <c r="Y113" s="77"/>
      <c r="AD113" s="100"/>
      <c r="AE113" s="100"/>
    </row>
    <row r="114" spans="1:31" s="1" customFormat="1" x14ac:dyDescent="0.25">
      <c r="A114" s="570" t="s">
        <v>213</v>
      </c>
      <c r="B114" s="570" t="s">
        <v>214</v>
      </c>
      <c r="C114" s="571" t="s">
        <v>215</v>
      </c>
      <c r="D114" s="573" t="s">
        <v>216</v>
      </c>
      <c r="E114" s="258"/>
      <c r="F114" s="258"/>
      <c r="G114" s="258"/>
      <c r="H114" s="258"/>
      <c r="I114" s="258"/>
      <c r="J114" s="258"/>
      <c r="K114" s="258"/>
      <c r="L114" s="258"/>
      <c r="M114" s="258"/>
      <c r="N114" s="548"/>
      <c r="O114" s="255"/>
      <c r="P114" s="255"/>
      <c r="Q114" s="255"/>
      <c r="R114" s="255"/>
      <c r="S114" s="255"/>
      <c r="T114" s="255"/>
      <c r="U114" s="255"/>
      <c r="V114" s="255"/>
      <c r="W114" s="548"/>
      <c r="X114" s="564"/>
      <c r="Y114" s="566"/>
      <c r="Z114" s="564"/>
      <c r="AA114" s="548"/>
      <c r="AB114" s="548" t="s">
        <v>225</v>
      </c>
      <c r="AC114" s="548" t="s">
        <v>226</v>
      </c>
      <c r="AD114" s="550"/>
      <c r="AE114" s="551"/>
    </row>
    <row r="115" spans="1:31" s="1" customFormat="1" x14ac:dyDescent="0.25">
      <c r="A115" s="570"/>
      <c r="B115" s="570"/>
      <c r="C115" s="572"/>
      <c r="D115" s="573"/>
      <c r="E115" s="259"/>
      <c r="F115" s="259"/>
      <c r="G115" s="259"/>
      <c r="H115" s="259"/>
      <c r="I115" s="259"/>
      <c r="J115" s="259"/>
      <c r="K115" s="259"/>
      <c r="L115" s="259"/>
      <c r="M115" s="259"/>
      <c r="N115" s="549"/>
      <c r="O115" s="256"/>
      <c r="P115" s="256"/>
      <c r="Q115" s="256"/>
      <c r="R115" s="256"/>
      <c r="S115" s="256"/>
      <c r="T115" s="256"/>
      <c r="U115" s="256"/>
      <c r="V115" s="256"/>
      <c r="W115" s="549"/>
      <c r="X115" s="565"/>
      <c r="Y115" s="567"/>
      <c r="Z115" s="565"/>
      <c r="AA115" s="549"/>
      <c r="AB115" s="549"/>
      <c r="AC115" s="549"/>
      <c r="AD115" s="78"/>
      <c r="AE115" s="78"/>
    </row>
    <row r="116" spans="1:31" s="1" customFormat="1" x14ac:dyDescent="0.25"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X116" s="77"/>
      <c r="Y116" s="77"/>
      <c r="AD116" s="100"/>
      <c r="AE116" s="100"/>
    </row>
    <row r="117" spans="1:31" s="1" customFormat="1" x14ac:dyDescent="0.25">
      <c r="A117" s="620">
        <v>1</v>
      </c>
      <c r="B117" s="621" t="s">
        <v>265</v>
      </c>
      <c r="C117" s="83" t="s">
        <v>237</v>
      </c>
      <c r="D117" s="84">
        <v>3</v>
      </c>
      <c r="E117" s="130"/>
      <c r="F117" s="130"/>
      <c r="G117" s="130"/>
      <c r="H117" s="130"/>
      <c r="I117" s="130"/>
      <c r="J117" s="130"/>
      <c r="K117" s="130"/>
      <c r="L117" s="130"/>
      <c r="M117" s="86">
        <f>SUMIF('Наставни ансамбл'!J14:J220,"Наташа Цвијановић",'Наставни ансамбл'!R14:R220)</f>
        <v>0</v>
      </c>
      <c r="N117" s="130"/>
      <c r="O117" s="86"/>
      <c r="P117" s="86"/>
      <c r="Q117" s="86"/>
      <c r="R117" s="86"/>
      <c r="S117" s="86"/>
      <c r="T117" s="86"/>
      <c r="U117" s="86"/>
      <c r="V117" s="88">
        <f>SUMIF('Наставни ансамбл'!J14:J220,"Наташа Цвијановић",'Наставни ансамбл'!S14:S220)</f>
        <v>0</v>
      </c>
      <c r="W117" s="130"/>
      <c r="X117" s="130">
        <f>I117+J117+M117+V117</f>
        <v>0</v>
      </c>
      <c r="Y117" s="113">
        <f t="shared" ref="Y117" si="16">X117/D117*100</f>
        <v>0</v>
      </c>
      <c r="Z117" s="556">
        <f>(X117+X118)/2</f>
        <v>1.9</v>
      </c>
      <c r="AA117" s="558">
        <f>Z117/D117*100</f>
        <v>63.333333333333329</v>
      </c>
      <c r="AB117" s="556" t="s">
        <v>254</v>
      </c>
      <c r="AC117" s="556">
        <f>IF(Z117&gt;D117,Z117-D117,0)</f>
        <v>0</v>
      </c>
      <c r="AD117" s="560">
        <v>0</v>
      </c>
      <c r="AE117" s="552">
        <v>1</v>
      </c>
    </row>
    <row r="118" spans="1:31" s="1" customFormat="1" x14ac:dyDescent="0.25">
      <c r="A118" s="583"/>
      <c r="B118" s="584"/>
      <c r="C118" s="90" t="s">
        <v>238</v>
      </c>
      <c r="D118" s="91">
        <v>3</v>
      </c>
      <c r="E118" s="111"/>
      <c r="F118" s="111"/>
      <c r="G118" s="111"/>
      <c r="H118" s="111"/>
      <c r="I118" s="111"/>
      <c r="J118" s="111"/>
      <c r="K118" s="111"/>
      <c r="L118" s="111"/>
      <c r="M118" s="86">
        <f>SUMIF('Наставни ансамбл'!J378:J585,"Наташа Цвијановић",'Наставни ансамбл'!R378:R585)</f>
        <v>2</v>
      </c>
      <c r="N118" s="111"/>
      <c r="O118" s="112"/>
      <c r="P118" s="112"/>
      <c r="Q118" s="112"/>
      <c r="R118" s="112"/>
      <c r="S118" s="112"/>
      <c r="T118" s="112"/>
      <c r="U118" s="112"/>
      <c r="V118" s="107">
        <f>SUMIF('Наставни ансамбл'!J378:J585,"Наташа Цвијановић",'Наставни ансамбл'!S378:S585)</f>
        <v>3</v>
      </c>
      <c r="W118" s="111"/>
      <c r="X118" s="91">
        <f>M118+(V118*0.6)</f>
        <v>3.8</v>
      </c>
      <c r="Y118" s="93">
        <f>X118/D118*100</f>
        <v>126.66666666666666</v>
      </c>
      <c r="Z118" s="557"/>
      <c r="AA118" s="559"/>
      <c r="AB118" s="583"/>
      <c r="AC118" s="583"/>
      <c r="AD118" s="553"/>
      <c r="AE118" s="583"/>
    </row>
    <row r="119" spans="1:31" s="1" customFormat="1" x14ac:dyDescent="0.25">
      <c r="A119" s="585">
        <v>2</v>
      </c>
      <c r="B119" s="611" t="s">
        <v>401</v>
      </c>
      <c r="C119" s="83" t="s">
        <v>237</v>
      </c>
      <c r="D119" s="84">
        <v>3</v>
      </c>
      <c r="E119" s="349">
        <v>3</v>
      </c>
      <c r="F119" s="105"/>
      <c r="G119" s="105"/>
      <c r="H119" s="105"/>
      <c r="I119" s="204"/>
      <c r="J119" s="204"/>
      <c r="K119" s="105"/>
      <c r="L119" s="105"/>
      <c r="M119" s="86">
        <f>SUMIF('Наставни ансамбл'!J14:J220,"Александар Ђурић",'Наставни ансамбл'!R14:R220)</f>
        <v>2</v>
      </c>
      <c r="N119" s="105"/>
      <c r="O119" s="112"/>
      <c r="P119" s="112"/>
      <c r="Q119" s="112"/>
      <c r="R119" s="112"/>
      <c r="S119" s="112"/>
      <c r="T119" s="112"/>
      <c r="U119" s="112"/>
      <c r="V119" s="107">
        <f>SUMIF('Наставни ансамбл'!J14:J220,"Александар Ђурић",'Наставни ансамбл'!S14:S220)</f>
        <v>2</v>
      </c>
      <c r="W119" s="105"/>
      <c r="X119" s="84">
        <f>I119+J119+M119+V119</f>
        <v>4</v>
      </c>
      <c r="Y119" s="89">
        <f t="shared" ref="Y119:Y126" si="17">X119/D119*100</f>
        <v>133.33333333333331</v>
      </c>
      <c r="Z119" s="591">
        <f>(X119+X120)/2</f>
        <v>7</v>
      </c>
      <c r="AA119" s="592">
        <f>Z119/10*100</f>
        <v>70</v>
      </c>
      <c r="AB119" s="556" t="s">
        <v>254</v>
      </c>
      <c r="AC119" s="556">
        <f>IF(Z119&gt;D119,Z119-D119,0)</f>
        <v>4</v>
      </c>
      <c r="AD119" s="560">
        <v>4</v>
      </c>
      <c r="AE119" s="585">
        <v>3</v>
      </c>
    </row>
    <row r="120" spans="1:31" s="1" customFormat="1" ht="15" customHeight="1" x14ac:dyDescent="0.25">
      <c r="A120" s="553"/>
      <c r="B120" s="581"/>
      <c r="C120" s="90" t="s">
        <v>238</v>
      </c>
      <c r="D120" s="91">
        <v>3</v>
      </c>
      <c r="E120" s="131"/>
      <c r="F120" s="131"/>
      <c r="G120" s="131"/>
      <c r="H120" s="131"/>
      <c r="I120" s="177"/>
      <c r="J120" s="177"/>
      <c r="K120" s="131"/>
      <c r="L120" s="131"/>
      <c r="M120" s="86">
        <f>SUMIF('Наставни ансамбл'!J378:J585,"Александар Ђурић",'Наставни ансамбл'!R378:R585)</f>
        <v>6</v>
      </c>
      <c r="N120" s="131"/>
      <c r="O120" s="86"/>
      <c r="P120" s="86"/>
      <c r="Q120" s="86"/>
      <c r="R120" s="86"/>
      <c r="S120" s="86"/>
      <c r="T120" s="86"/>
      <c r="U120" s="86"/>
      <c r="V120" s="88">
        <f>SUMIF('Наставни ансамбл'!J378:J585,"Александар Ђурић",'Наставни ансамбл'!S378:S585)</f>
        <v>4</v>
      </c>
      <c r="W120" s="131"/>
      <c r="X120" s="129">
        <f>I120+J120+M120+V120</f>
        <v>10</v>
      </c>
      <c r="Y120" s="132">
        <f t="shared" si="17"/>
        <v>333.33333333333337</v>
      </c>
      <c r="Z120" s="557"/>
      <c r="AA120" s="559"/>
      <c r="AB120" s="557"/>
      <c r="AC120" s="557"/>
      <c r="AD120" s="553"/>
      <c r="AE120" s="553"/>
    </row>
    <row r="121" spans="1:31" s="1" customFormat="1" x14ac:dyDescent="0.25">
      <c r="A121" s="552">
        <v>3</v>
      </c>
      <c r="B121" s="622" t="s">
        <v>198</v>
      </c>
      <c r="C121" s="83" t="s">
        <v>237</v>
      </c>
      <c r="D121" s="84">
        <v>3</v>
      </c>
      <c r="E121" s="84"/>
      <c r="F121" s="84"/>
      <c r="G121" s="84"/>
      <c r="H121" s="84"/>
      <c r="I121" s="84"/>
      <c r="J121" s="84"/>
      <c r="K121" s="84"/>
      <c r="L121" s="84"/>
      <c r="M121" s="86">
        <f>SUMIF('Наставни ансамбл'!J14:J220,"Александар Дошић",'Наставни ансамбл'!R14:R220)</f>
        <v>2</v>
      </c>
      <c r="N121" s="84"/>
      <c r="O121" s="86"/>
      <c r="P121" s="86"/>
      <c r="Q121" s="86"/>
      <c r="R121" s="86"/>
      <c r="S121" s="86"/>
      <c r="T121" s="86"/>
      <c r="U121" s="86"/>
      <c r="V121" s="88">
        <f>SUMIF('Наставни ансамбл'!J14:J220,"Александар Дошић",'Наставни ансамбл'!S14:S220)</f>
        <v>0</v>
      </c>
      <c r="W121" s="84"/>
      <c r="X121" s="84">
        <f t="shared" ref="X121:X126" si="18">M121+(V121*0.6)</f>
        <v>2</v>
      </c>
      <c r="Y121" s="89">
        <f t="shared" si="17"/>
        <v>66.666666666666657</v>
      </c>
      <c r="Z121" s="556">
        <f>(X121+X122)/2</f>
        <v>2</v>
      </c>
      <c r="AA121" s="558">
        <f>Z121/10*100</f>
        <v>20</v>
      </c>
      <c r="AB121" s="556" t="s">
        <v>254</v>
      </c>
      <c r="AC121" s="556">
        <f>IF(Z121&gt;D121,Z121-D121,0)</f>
        <v>0</v>
      </c>
      <c r="AD121" s="552">
        <v>1</v>
      </c>
      <c r="AE121" s="552">
        <v>1</v>
      </c>
    </row>
    <row r="122" spans="1:31" s="1" customFormat="1" ht="15" customHeight="1" x14ac:dyDescent="0.25">
      <c r="A122" s="553"/>
      <c r="B122" s="623"/>
      <c r="C122" s="90" t="s">
        <v>238</v>
      </c>
      <c r="D122" s="140">
        <v>3</v>
      </c>
      <c r="E122" s="140"/>
      <c r="F122" s="140"/>
      <c r="G122" s="140"/>
      <c r="H122" s="140"/>
      <c r="I122" s="140"/>
      <c r="J122" s="140"/>
      <c r="K122" s="140"/>
      <c r="L122" s="140"/>
      <c r="M122" s="86">
        <f>SUMIF('Наставни ансамбл'!J378:J585,"Александар Дошић",'Наставни ансамбл'!R378:R585)</f>
        <v>2</v>
      </c>
      <c r="N122" s="140"/>
      <c r="O122" s="86"/>
      <c r="P122" s="86"/>
      <c r="Q122" s="86"/>
      <c r="R122" s="86"/>
      <c r="S122" s="86"/>
      <c r="T122" s="86"/>
      <c r="U122" s="86"/>
      <c r="V122" s="88">
        <f>SUMIF('Наставни ансамбл'!J378:J585,"Александар Дошић",'Наставни ансамбл'!S378:S585)</f>
        <v>0</v>
      </c>
      <c r="W122" s="140"/>
      <c r="X122" s="129">
        <f t="shared" si="18"/>
        <v>2</v>
      </c>
      <c r="Y122" s="200">
        <f t="shared" si="17"/>
        <v>66.666666666666657</v>
      </c>
      <c r="Z122" s="557"/>
      <c r="AA122" s="559"/>
      <c r="AB122" s="557"/>
      <c r="AC122" s="557"/>
      <c r="AD122" s="553"/>
      <c r="AE122" s="553"/>
    </row>
    <row r="123" spans="1:31" s="1" customFormat="1" x14ac:dyDescent="0.25">
      <c r="A123" s="585">
        <v>4</v>
      </c>
      <c r="B123" s="611" t="s">
        <v>298</v>
      </c>
      <c r="C123" s="83" t="s">
        <v>237</v>
      </c>
      <c r="D123" s="84">
        <v>3</v>
      </c>
      <c r="E123" s="105"/>
      <c r="F123" s="105"/>
      <c r="G123" s="105"/>
      <c r="H123" s="105"/>
      <c r="I123" s="105"/>
      <c r="J123" s="105"/>
      <c r="K123" s="105"/>
      <c r="L123" s="105"/>
      <c r="M123" s="86">
        <f>SUMIF('Наставни ансамбл'!J14:J220,"Далиборка Јанковић",'Наставни ансамбл'!R14:R220)</f>
        <v>0</v>
      </c>
      <c r="N123" s="105"/>
      <c r="O123" s="112"/>
      <c r="P123" s="112"/>
      <c r="Q123" s="112"/>
      <c r="R123" s="112"/>
      <c r="S123" s="112"/>
      <c r="T123" s="112"/>
      <c r="U123" s="112"/>
      <c r="V123" s="107">
        <f>SUMIF('Наставни ансамбл'!J14:J220,"Далиборка Јанковић",'Наставни ансамбл'!S14:S220)</f>
        <v>0</v>
      </c>
      <c r="W123" s="105"/>
      <c r="X123" s="84">
        <f t="shared" si="18"/>
        <v>0</v>
      </c>
      <c r="Y123" s="89">
        <f t="shared" si="17"/>
        <v>0</v>
      </c>
      <c r="Z123" s="591">
        <f>(X123+X124)/2</f>
        <v>0</v>
      </c>
      <c r="AA123" s="592">
        <f>Z123/10*100</f>
        <v>0</v>
      </c>
      <c r="AB123" s="556" t="s">
        <v>254</v>
      </c>
      <c r="AC123" s="556">
        <f>IF(Z123&gt;D123,Z123-D123,0)</f>
        <v>0</v>
      </c>
      <c r="AD123" s="560">
        <v>2</v>
      </c>
      <c r="AE123" s="585">
        <v>2</v>
      </c>
    </row>
    <row r="124" spans="1:31" s="1" customFormat="1" ht="15" customHeight="1" x14ac:dyDescent="0.25">
      <c r="A124" s="553"/>
      <c r="B124" s="581"/>
      <c r="C124" s="90" t="s">
        <v>238</v>
      </c>
      <c r="D124" s="91">
        <v>3</v>
      </c>
      <c r="E124" s="131"/>
      <c r="F124" s="131"/>
      <c r="G124" s="131"/>
      <c r="H124" s="131"/>
      <c r="I124" s="131"/>
      <c r="J124" s="131"/>
      <c r="K124" s="131"/>
      <c r="L124" s="131"/>
      <c r="M124" s="86">
        <f>SUMIF('Наставни ансамбл'!J378:J585,"Далиборка Јанковић",'Наставни ансамбл'!R378:R585)</f>
        <v>0</v>
      </c>
      <c r="N124" s="131"/>
      <c r="O124" s="86"/>
      <c r="P124" s="86"/>
      <c r="Q124" s="86"/>
      <c r="R124" s="86"/>
      <c r="S124" s="86"/>
      <c r="T124" s="86"/>
      <c r="U124" s="86"/>
      <c r="V124" s="88">
        <f>SUMIF('Наставни ансамбл'!J378:J585,"Далиборка Јанковић",'Наставни ансамбл'!S378:S585)</f>
        <v>0</v>
      </c>
      <c r="W124" s="131"/>
      <c r="X124" s="129">
        <f t="shared" si="18"/>
        <v>0</v>
      </c>
      <c r="Y124" s="132">
        <f t="shared" si="17"/>
        <v>0</v>
      </c>
      <c r="Z124" s="557"/>
      <c r="AA124" s="559"/>
      <c r="AB124" s="557"/>
      <c r="AC124" s="557"/>
      <c r="AD124" s="553"/>
      <c r="AE124" s="553"/>
    </row>
    <row r="125" spans="1:31" s="1" customFormat="1" x14ac:dyDescent="0.25">
      <c r="A125" s="552">
        <v>5</v>
      </c>
      <c r="B125" s="554" t="s">
        <v>393</v>
      </c>
      <c r="C125" s="141" t="s">
        <v>237</v>
      </c>
      <c r="D125" s="130">
        <v>5</v>
      </c>
      <c r="E125" s="142"/>
      <c r="F125" s="142"/>
      <c r="G125" s="142"/>
      <c r="H125" s="142"/>
      <c r="I125" s="142"/>
      <c r="J125" s="142"/>
      <c r="K125" s="142"/>
      <c r="L125" s="142"/>
      <c r="M125" s="86">
        <f>SUMIF('Наставни ансамбл'!J14:J220,"Јелена Тракиловић",'Наставни ансамбл'!R14:R220)</f>
        <v>10</v>
      </c>
      <c r="N125" s="142"/>
      <c r="O125" s="112"/>
      <c r="P125" s="112"/>
      <c r="Q125" s="112"/>
      <c r="R125" s="112"/>
      <c r="S125" s="112"/>
      <c r="T125" s="112"/>
      <c r="U125" s="112"/>
      <c r="V125" s="107">
        <f>SUMIF('Наставни ансамбл'!J14:J220,"Јелена Тракиловић",'Наставни ансамбл'!S14:S220)</f>
        <v>14</v>
      </c>
      <c r="W125" s="142"/>
      <c r="X125" s="84">
        <f t="shared" si="18"/>
        <v>18.399999999999999</v>
      </c>
      <c r="Y125" s="89">
        <f t="shared" si="17"/>
        <v>368</v>
      </c>
      <c r="Z125" s="556">
        <f>(X125+X126)/2</f>
        <v>11.6</v>
      </c>
      <c r="AA125" s="558">
        <f>Z125/D125*100</f>
        <v>231.99999999999997</v>
      </c>
      <c r="AB125" s="252"/>
      <c r="AC125" s="252"/>
      <c r="AD125" s="560">
        <v>2</v>
      </c>
      <c r="AE125" s="552">
        <v>0</v>
      </c>
    </row>
    <row r="126" spans="1:31" s="1" customFormat="1" x14ac:dyDescent="0.25">
      <c r="A126" s="583"/>
      <c r="B126" s="584"/>
      <c r="C126" s="90" t="s">
        <v>238</v>
      </c>
      <c r="D126" s="91">
        <v>5</v>
      </c>
      <c r="E126" s="111"/>
      <c r="F126" s="111"/>
      <c r="G126" s="111"/>
      <c r="H126" s="111"/>
      <c r="I126" s="111"/>
      <c r="J126" s="111"/>
      <c r="K126" s="111"/>
      <c r="L126" s="111"/>
      <c r="M126" s="86">
        <f>SUMIF('Наставни ансамбл'!J378:J585,"Јелена Тракиловић",'Наставни ансамбл'!R378:R585)</f>
        <v>3</v>
      </c>
      <c r="N126" s="111"/>
      <c r="O126" s="112"/>
      <c r="P126" s="112"/>
      <c r="Q126" s="112"/>
      <c r="R126" s="112"/>
      <c r="S126" s="112"/>
      <c r="T126" s="112"/>
      <c r="U126" s="112"/>
      <c r="V126" s="107">
        <f>SUMIF('Наставни ансамбл'!J378:J585,"Јелена Тракиловић",'Наставни ансамбл'!S378:S585)</f>
        <v>3</v>
      </c>
      <c r="W126" s="111"/>
      <c r="X126" s="129">
        <f t="shared" si="18"/>
        <v>4.8</v>
      </c>
      <c r="Y126" s="132">
        <f t="shared" si="17"/>
        <v>96</v>
      </c>
      <c r="Z126" s="557"/>
      <c r="AA126" s="559"/>
      <c r="AB126" s="253"/>
      <c r="AC126" s="253"/>
      <c r="AD126" s="553"/>
      <c r="AE126" s="583"/>
    </row>
    <row r="127" spans="1:31" s="1" customFormat="1" ht="15" customHeight="1" x14ac:dyDescent="0.25">
      <c r="A127" s="261"/>
      <c r="B127" s="605" t="s">
        <v>251</v>
      </c>
      <c r="C127" s="606" t="s">
        <v>237</v>
      </c>
      <c r="D127" s="606"/>
      <c r="E127" s="260"/>
      <c r="F127" s="260"/>
      <c r="G127" s="260"/>
      <c r="H127" s="260"/>
      <c r="I127" s="260"/>
      <c r="J127" s="260"/>
      <c r="K127" s="260"/>
      <c r="L127" s="260"/>
      <c r="M127" s="260">
        <f>SUM(M117,M119,M121,M123,M125)</f>
        <v>14</v>
      </c>
      <c r="N127" s="257"/>
      <c r="O127" s="257"/>
      <c r="P127" s="257"/>
      <c r="Q127" s="257"/>
      <c r="R127" s="257"/>
      <c r="S127" s="257"/>
      <c r="T127" s="257"/>
      <c r="U127" s="257"/>
      <c r="V127" s="257">
        <f>SUM(V117,V119,V121,V123,V125)</f>
        <v>16</v>
      </c>
      <c r="W127" s="257"/>
      <c r="X127" s="257">
        <f>SUM(X117,X119,X121,X123,X125)</f>
        <v>24.4</v>
      </c>
      <c r="Y127" s="93"/>
      <c r="Z127" s="607">
        <f>SUM(Z117:Z126)</f>
        <v>22.5</v>
      </c>
      <c r="AA127" s="104"/>
      <c r="AB127" s="110"/>
      <c r="AC127" s="110"/>
      <c r="AD127" s="100"/>
      <c r="AE127" s="100"/>
    </row>
    <row r="128" spans="1:31" s="1" customFormat="1" x14ac:dyDescent="0.25">
      <c r="A128" s="261"/>
      <c r="B128" s="605"/>
      <c r="C128" s="608" t="s">
        <v>238</v>
      </c>
      <c r="D128" s="608"/>
      <c r="E128" s="257"/>
      <c r="F128" s="257"/>
      <c r="G128" s="257"/>
      <c r="H128" s="257"/>
      <c r="I128" s="257"/>
      <c r="J128" s="257"/>
      <c r="K128" s="257"/>
      <c r="L128" s="257"/>
      <c r="M128" s="257">
        <f>SUM(M118,M120,M122,M124,M126)</f>
        <v>13</v>
      </c>
      <c r="N128" s="257"/>
      <c r="O128" s="257"/>
      <c r="P128" s="257"/>
      <c r="Q128" s="257"/>
      <c r="R128" s="257"/>
      <c r="S128" s="257"/>
      <c r="T128" s="257"/>
      <c r="U128" s="257"/>
      <c r="V128" s="257">
        <f>SUM(V118,V120,V122,V124,V126)</f>
        <v>10</v>
      </c>
      <c r="W128" s="257"/>
      <c r="X128" s="257">
        <f>SUM(X118,X120,X122,X124,X126)</f>
        <v>20.6</v>
      </c>
      <c r="Y128" s="93"/>
      <c r="Z128" s="607"/>
      <c r="AA128" s="104"/>
      <c r="AB128" s="104"/>
      <c r="AC128" s="104"/>
      <c r="AD128" s="100"/>
      <c r="AE128" s="100"/>
    </row>
    <row r="129" spans="1:31" s="1" customFormat="1" ht="8.25" customHeight="1" x14ac:dyDescent="0.25">
      <c r="A129" s="100"/>
      <c r="B129" s="98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77"/>
      <c r="Y129" s="103"/>
      <c r="Z129" s="100"/>
      <c r="AA129" s="104"/>
      <c r="AB129" s="104"/>
      <c r="AC129" s="104"/>
      <c r="AD129" s="100"/>
      <c r="AE129" s="100"/>
    </row>
    <row r="130" spans="1:31" s="1" customFormat="1" x14ac:dyDescent="0.25">
      <c r="A130" s="76" t="s">
        <v>256</v>
      </c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X130" s="77"/>
      <c r="Y130" s="77"/>
      <c r="AD130" s="100"/>
      <c r="AE130" s="100"/>
    </row>
    <row r="131" spans="1:31" s="1" customFormat="1" ht="14.25" customHeight="1" x14ac:dyDescent="0.25"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X131" s="77"/>
      <c r="Y131" s="77"/>
      <c r="AD131" s="100"/>
      <c r="AE131" s="100"/>
    </row>
    <row r="132" spans="1:31" s="1" customFormat="1" x14ac:dyDescent="0.25">
      <c r="A132" s="570" t="s">
        <v>213</v>
      </c>
      <c r="B132" s="570" t="s">
        <v>214</v>
      </c>
      <c r="C132" s="571" t="s">
        <v>215</v>
      </c>
      <c r="D132" s="573" t="s">
        <v>216</v>
      </c>
      <c r="E132" s="258"/>
      <c r="F132" s="258"/>
      <c r="G132" s="258"/>
      <c r="H132" s="258"/>
      <c r="I132" s="258"/>
      <c r="J132" s="258"/>
      <c r="K132" s="258"/>
      <c r="L132" s="258"/>
      <c r="M132" s="258"/>
      <c r="N132" s="548"/>
      <c r="O132" s="255"/>
      <c r="P132" s="255"/>
      <c r="Q132" s="255"/>
      <c r="R132" s="255"/>
      <c r="S132" s="255"/>
      <c r="T132" s="255"/>
      <c r="U132" s="255"/>
      <c r="V132" s="255"/>
      <c r="W132" s="548"/>
      <c r="X132" s="564"/>
      <c r="Y132" s="566"/>
      <c r="Z132" s="564"/>
      <c r="AA132" s="566"/>
      <c r="AB132" s="548" t="s">
        <v>225</v>
      </c>
      <c r="AC132" s="548" t="s">
        <v>226</v>
      </c>
      <c r="AD132" s="550"/>
      <c r="AE132" s="551"/>
    </row>
    <row r="133" spans="1:31" s="1" customFormat="1" x14ac:dyDescent="0.25">
      <c r="A133" s="570"/>
      <c r="B133" s="570"/>
      <c r="C133" s="572"/>
      <c r="D133" s="573"/>
      <c r="E133" s="259"/>
      <c r="F133" s="259"/>
      <c r="G133" s="259"/>
      <c r="H133" s="259"/>
      <c r="I133" s="259"/>
      <c r="J133" s="259"/>
      <c r="K133" s="259"/>
      <c r="L133" s="259"/>
      <c r="M133" s="259"/>
      <c r="N133" s="549"/>
      <c r="O133" s="256"/>
      <c r="P133" s="256"/>
      <c r="Q133" s="256"/>
      <c r="R133" s="256"/>
      <c r="S133" s="256"/>
      <c r="T133" s="256"/>
      <c r="U133" s="256"/>
      <c r="V133" s="256"/>
      <c r="W133" s="549"/>
      <c r="X133" s="565"/>
      <c r="Y133" s="567"/>
      <c r="Z133" s="565"/>
      <c r="AA133" s="567"/>
      <c r="AB133" s="549"/>
      <c r="AC133" s="549"/>
      <c r="AD133" s="78"/>
      <c r="AE133" s="78"/>
    </row>
    <row r="134" spans="1:31" s="1" customFormat="1" x14ac:dyDescent="0.25"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X134" s="77"/>
      <c r="Y134" s="77"/>
      <c r="AD134" s="100"/>
      <c r="AE134" s="100"/>
    </row>
    <row r="135" spans="1:31" s="1" customFormat="1" x14ac:dyDescent="0.25">
      <c r="A135" s="558">
        <v>1</v>
      </c>
      <c r="B135" s="609" t="s">
        <v>242</v>
      </c>
      <c r="C135" s="83" t="s">
        <v>237</v>
      </c>
      <c r="D135" s="84">
        <v>6</v>
      </c>
      <c r="E135" s="84"/>
      <c r="F135" s="84"/>
      <c r="G135" s="84"/>
      <c r="H135" s="84"/>
      <c r="I135" s="84"/>
      <c r="J135" s="84"/>
      <c r="K135" s="84"/>
      <c r="L135" s="84"/>
      <c r="M135" s="86">
        <f>SUMIF('Наставни ансамбл'!J14:J220,"Јелина Ђурковић",'Наставни ансамбл'!R14:R220)</f>
        <v>0</v>
      </c>
      <c r="N135" s="130"/>
      <c r="O135" s="86"/>
      <c r="P135" s="86"/>
      <c r="Q135" s="86"/>
      <c r="R135" s="86"/>
      <c r="S135" s="86"/>
      <c r="T135" s="86"/>
      <c r="U135" s="86"/>
      <c r="V135" s="88">
        <f>SUMIF('Наставни ансамбл'!J14:J220,"Јелина Ђурковић",'Наставни ансамбл'!S14:S220)</f>
        <v>0</v>
      </c>
      <c r="W135" s="84"/>
      <c r="X135" s="84">
        <f t="shared" ref="X135:X166" si="19">M135+(V135*0.6)</f>
        <v>0</v>
      </c>
      <c r="Y135" s="89">
        <f t="shared" ref="Y135:Y166" si="20">X135/D135*100</f>
        <v>0</v>
      </c>
      <c r="Z135" s="556">
        <f>(X135+X136)/2</f>
        <v>0</v>
      </c>
      <c r="AA135" s="558">
        <f>Z135/D135*100</f>
        <v>0</v>
      </c>
      <c r="AB135" s="556" t="s">
        <v>254</v>
      </c>
      <c r="AC135" s="556" t="s">
        <v>254</v>
      </c>
      <c r="AD135" s="552">
        <v>4</v>
      </c>
      <c r="AE135" s="552">
        <v>3</v>
      </c>
    </row>
    <row r="136" spans="1:31" s="1" customFormat="1" x14ac:dyDescent="0.25">
      <c r="A136" s="559"/>
      <c r="B136" s="610"/>
      <c r="C136" s="90" t="s">
        <v>238</v>
      </c>
      <c r="D136" s="91">
        <v>6</v>
      </c>
      <c r="E136" s="140"/>
      <c r="F136" s="140"/>
      <c r="G136" s="140"/>
      <c r="H136" s="140"/>
      <c r="I136" s="140"/>
      <c r="J136" s="140"/>
      <c r="K136" s="140"/>
      <c r="L136" s="140"/>
      <c r="M136" s="86">
        <f>SUMIF('Наставни ансамбл'!J378:J585,"Јелина Ђурковић",'Наставни ансамбл'!R378:R585)</f>
        <v>0</v>
      </c>
      <c r="N136" s="111"/>
      <c r="O136" s="112"/>
      <c r="P136" s="112"/>
      <c r="Q136" s="112"/>
      <c r="R136" s="112"/>
      <c r="S136" s="112"/>
      <c r="T136" s="112"/>
      <c r="U136" s="112"/>
      <c r="V136" s="107">
        <f>SUMIF('Наставни ансамбл'!J378:J585,"Јелина Ђурковић",'Наставни ансамбл'!S378:S585)</f>
        <v>0</v>
      </c>
      <c r="W136" s="140"/>
      <c r="X136" s="129">
        <f t="shared" si="19"/>
        <v>0</v>
      </c>
      <c r="Y136" s="93">
        <f t="shared" si="20"/>
        <v>0</v>
      </c>
      <c r="Z136" s="557"/>
      <c r="AA136" s="559"/>
      <c r="AB136" s="557"/>
      <c r="AC136" s="557"/>
      <c r="AD136" s="553"/>
      <c r="AE136" s="553"/>
    </row>
    <row r="137" spans="1:31" s="1" customFormat="1" x14ac:dyDescent="0.25">
      <c r="A137" s="558">
        <v>2</v>
      </c>
      <c r="B137" s="580" t="s">
        <v>282</v>
      </c>
      <c r="C137" s="83" t="s">
        <v>237</v>
      </c>
      <c r="D137" s="84">
        <v>6</v>
      </c>
      <c r="E137" s="84"/>
      <c r="F137" s="84"/>
      <c r="G137" s="84"/>
      <c r="H137" s="84"/>
      <c r="I137" s="84"/>
      <c r="J137" s="84"/>
      <c r="K137" s="84"/>
      <c r="L137" s="84"/>
      <c r="M137" s="86">
        <f>SUMIF('Наставни ансамбл'!J14:J220,"Вељко Брборић",'Наставни ансамбл'!R14:R220)</f>
        <v>3</v>
      </c>
      <c r="N137" s="105"/>
      <c r="O137" s="112"/>
      <c r="P137" s="112"/>
      <c r="Q137" s="112"/>
      <c r="R137" s="112"/>
      <c r="S137" s="112"/>
      <c r="T137" s="112"/>
      <c r="U137" s="112"/>
      <c r="V137" s="107">
        <f>SUMIF('Наставни ансамбл'!J14:J220,"Вељко Брборић",'Наставни ансамбл'!S14:S220)</f>
        <v>0</v>
      </c>
      <c r="W137" s="84"/>
      <c r="X137" s="84">
        <f t="shared" si="19"/>
        <v>3</v>
      </c>
      <c r="Y137" s="89">
        <f t="shared" si="20"/>
        <v>50</v>
      </c>
      <c r="Z137" s="556">
        <f>(X137+X138)/2</f>
        <v>1.5</v>
      </c>
      <c r="AA137" s="558">
        <f>Z137/D137*100</f>
        <v>25</v>
      </c>
      <c r="AB137" s="556" t="s">
        <v>254</v>
      </c>
      <c r="AC137" s="556" t="s">
        <v>254</v>
      </c>
      <c r="AD137" s="552">
        <v>3</v>
      </c>
      <c r="AE137" s="552">
        <v>3</v>
      </c>
    </row>
    <row r="138" spans="1:31" s="1" customFormat="1" x14ac:dyDescent="0.25">
      <c r="A138" s="559"/>
      <c r="B138" s="581"/>
      <c r="C138" s="90" t="s">
        <v>238</v>
      </c>
      <c r="D138" s="91">
        <v>6</v>
      </c>
      <c r="E138" s="140"/>
      <c r="F138" s="140"/>
      <c r="G138" s="140"/>
      <c r="H138" s="140"/>
      <c r="I138" s="140"/>
      <c r="J138" s="140"/>
      <c r="K138" s="140"/>
      <c r="L138" s="140"/>
      <c r="M138" s="86">
        <f>SUMIF('Наставни ансамбл'!J378:J585,"Вељко Брборић",'Наставни ансамбл'!R378:R585)</f>
        <v>0</v>
      </c>
      <c r="N138" s="131"/>
      <c r="O138" s="86"/>
      <c r="P138" s="86"/>
      <c r="Q138" s="86"/>
      <c r="R138" s="86"/>
      <c r="S138" s="86"/>
      <c r="T138" s="86"/>
      <c r="U138" s="86"/>
      <c r="V138" s="88">
        <f>SUMIF('Наставни ансамбл'!J378:J585,"Вељко Брборић",'Наставни ансамбл'!S378:S585)</f>
        <v>0</v>
      </c>
      <c r="W138" s="140"/>
      <c r="X138" s="129">
        <f t="shared" si="19"/>
        <v>0</v>
      </c>
      <c r="Y138" s="93">
        <f t="shared" si="20"/>
        <v>0</v>
      </c>
      <c r="Z138" s="557"/>
      <c r="AA138" s="559"/>
      <c r="AB138" s="557"/>
      <c r="AC138" s="557"/>
      <c r="AD138" s="553"/>
      <c r="AE138" s="553"/>
    </row>
    <row r="139" spans="1:31" s="1" customFormat="1" x14ac:dyDescent="0.25">
      <c r="A139" s="558">
        <v>3</v>
      </c>
      <c r="B139" s="580" t="s">
        <v>257</v>
      </c>
      <c r="C139" s="83" t="s">
        <v>237</v>
      </c>
      <c r="D139" s="84">
        <v>6</v>
      </c>
      <c r="E139" s="84"/>
      <c r="F139" s="84"/>
      <c r="G139" s="84"/>
      <c r="H139" s="84"/>
      <c r="I139" s="84"/>
      <c r="J139" s="84"/>
      <c r="K139" s="84"/>
      <c r="L139" s="84"/>
      <c r="M139" s="86">
        <f>SUMIF('Наставни ансамбл'!J14:J220,"Драган Мартиновић",'Наставни ансамбл'!R14:R220)</f>
        <v>0</v>
      </c>
      <c r="N139" s="84"/>
      <c r="O139" s="86"/>
      <c r="P139" s="86"/>
      <c r="Q139" s="86"/>
      <c r="R139" s="86"/>
      <c r="S139" s="86"/>
      <c r="T139" s="86"/>
      <c r="U139" s="86"/>
      <c r="V139" s="88">
        <f>SUMIF('Наставни ансамбл'!J14:J220,"Драган Мартиновић",'Наставни ансамбл'!S14:S220)</f>
        <v>0</v>
      </c>
      <c r="W139" s="84"/>
      <c r="X139" s="84">
        <f t="shared" si="19"/>
        <v>0</v>
      </c>
      <c r="Y139" s="89">
        <f t="shared" si="20"/>
        <v>0</v>
      </c>
      <c r="Z139" s="556">
        <f>(X139+X140)/2</f>
        <v>0</v>
      </c>
      <c r="AA139" s="558">
        <f>Z139/D139*100</f>
        <v>0</v>
      </c>
      <c r="AB139" s="556" t="s">
        <v>254</v>
      </c>
      <c r="AC139" s="556" t="s">
        <v>254</v>
      </c>
      <c r="AD139" s="552">
        <v>1</v>
      </c>
      <c r="AE139" s="552">
        <v>1</v>
      </c>
    </row>
    <row r="140" spans="1:31" s="1" customFormat="1" x14ac:dyDescent="0.25">
      <c r="A140" s="559"/>
      <c r="B140" s="581"/>
      <c r="C140" s="90" t="s">
        <v>238</v>
      </c>
      <c r="D140" s="91">
        <v>6</v>
      </c>
      <c r="E140" s="140"/>
      <c r="F140" s="140"/>
      <c r="G140" s="140"/>
      <c r="H140" s="140"/>
      <c r="I140" s="140"/>
      <c r="J140" s="140"/>
      <c r="K140" s="140"/>
      <c r="L140" s="140"/>
      <c r="M140" s="86">
        <f>SUMIF('Наставни ансамбл'!J378:J585,"Драган Мартиновић",'Наставни ансамбл'!R378:R585)</f>
        <v>0</v>
      </c>
      <c r="N140" s="140"/>
      <c r="O140" s="86"/>
      <c r="P140" s="86"/>
      <c r="Q140" s="86"/>
      <c r="R140" s="86"/>
      <c r="S140" s="86"/>
      <c r="T140" s="86"/>
      <c r="U140" s="86"/>
      <c r="V140" s="88">
        <f>SUMIF('Наставни ансамбл'!J378:J585,"Драган Мартиновић",'Наставни ансамбл'!S378:S585)</f>
        <v>0</v>
      </c>
      <c r="W140" s="140"/>
      <c r="X140" s="129">
        <f t="shared" si="19"/>
        <v>0</v>
      </c>
      <c r="Y140" s="93">
        <f t="shared" si="20"/>
        <v>0</v>
      </c>
      <c r="Z140" s="557"/>
      <c r="AA140" s="559"/>
      <c r="AB140" s="557"/>
      <c r="AC140" s="557"/>
      <c r="AD140" s="553"/>
      <c r="AE140" s="553"/>
    </row>
    <row r="141" spans="1:31" s="1" customFormat="1" ht="15" hidden="1" customHeight="1" x14ac:dyDescent="0.25">
      <c r="A141" s="624">
        <v>3</v>
      </c>
      <c r="B141" s="580" t="s">
        <v>240</v>
      </c>
      <c r="C141" s="83" t="s">
        <v>237</v>
      </c>
      <c r="D141" s="84">
        <v>6</v>
      </c>
      <c r="E141" s="139"/>
      <c r="F141" s="139"/>
      <c r="G141" s="139"/>
      <c r="H141" s="139"/>
      <c r="I141" s="139"/>
      <c r="J141" s="139"/>
      <c r="K141" s="139"/>
      <c r="L141" s="139"/>
      <c r="M141" s="86">
        <f>SUMIF('Наставни ансамбл'!J53:J405,"Владо Медаковић",'Наставни ансамбл'!G53:G405)</f>
        <v>0</v>
      </c>
      <c r="N141" s="105"/>
      <c r="O141" s="112"/>
      <c r="P141" s="112"/>
      <c r="Q141" s="112"/>
      <c r="R141" s="112"/>
      <c r="S141" s="112"/>
      <c r="T141" s="112"/>
      <c r="U141" s="112"/>
      <c r="V141" s="107">
        <f>SUMIF('Наставни ансамбл'!J53:J405,"Владо Медаковић",'Наставни ансамбл'!H53:H405)</f>
        <v>0</v>
      </c>
      <c r="W141" s="139"/>
      <c r="X141" s="84">
        <f t="shared" si="19"/>
        <v>0</v>
      </c>
      <c r="Y141" s="89">
        <f t="shared" si="20"/>
        <v>0</v>
      </c>
      <c r="Z141" s="556">
        <f>(X141+X142)/2</f>
        <v>1</v>
      </c>
      <c r="AA141" s="558">
        <f>Z141/D141*100</f>
        <v>16.666666666666664</v>
      </c>
      <c r="AB141" s="556">
        <f>IF(Z141&lt;=D141,Z141,D141)</f>
        <v>1</v>
      </c>
      <c r="AC141" s="556">
        <f>IF(Z141&gt;D141,Z141-D141,0)</f>
        <v>0</v>
      </c>
      <c r="AD141" s="560">
        <v>3</v>
      </c>
      <c r="AE141" s="560">
        <v>2</v>
      </c>
    </row>
    <row r="142" spans="1:31" s="1" customFormat="1" hidden="1" x14ac:dyDescent="0.25">
      <c r="A142" s="625"/>
      <c r="B142" s="581"/>
      <c r="C142" s="90" t="s">
        <v>238</v>
      </c>
      <c r="D142" s="91">
        <v>6</v>
      </c>
      <c r="E142" s="140"/>
      <c r="F142" s="140"/>
      <c r="G142" s="140"/>
      <c r="H142" s="140"/>
      <c r="I142" s="140"/>
      <c r="J142" s="140"/>
      <c r="K142" s="140"/>
      <c r="L142" s="140"/>
      <c r="M142" s="86">
        <f>SUMIF('Наставни ансамбл'!J415:J797,"Владо Медаковић",'Наставни ансамбл'!G415:G797)</f>
        <v>2</v>
      </c>
      <c r="N142" s="131"/>
      <c r="O142" s="86"/>
      <c r="P142" s="86"/>
      <c r="Q142" s="86"/>
      <c r="R142" s="86"/>
      <c r="S142" s="86"/>
      <c r="T142" s="86"/>
      <c r="U142" s="86"/>
      <c r="V142" s="88">
        <f>SUMIF('Наставни ансамбл'!J415:J797,"Владо Медаковић",'Наставни ансамбл'!H415:H797)</f>
        <v>0</v>
      </c>
      <c r="W142" s="140"/>
      <c r="X142" s="84">
        <f t="shared" si="19"/>
        <v>2</v>
      </c>
      <c r="Y142" s="93">
        <f t="shared" si="20"/>
        <v>33.333333333333329</v>
      </c>
      <c r="Z142" s="557"/>
      <c r="AA142" s="559"/>
      <c r="AB142" s="557"/>
      <c r="AC142" s="557"/>
      <c r="AD142" s="553"/>
      <c r="AE142" s="553"/>
    </row>
    <row r="143" spans="1:31" s="1" customFormat="1" hidden="1" x14ac:dyDescent="0.25">
      <c r="A143" s="558">
        <v>3</v>
      </c>
      <c r="B143" s="580" t="s">
        <v>241</v>
      </c>
      <c r="C143" s="83" t="s">
        <v>237</v>
      </c>
      <c r="D143" s="84">
        <v>6</v>
      </c>
      <c r="E143" s="139"/>
      <c r="F143" s="139"/>
      <c r="G143" s="139"/>
      <c r="H143" s="139"/>
      <c r="I143" s="139"/>
      <c r="J143" s="139"/>
      <c r="K143" s="139"/>
      <c r="L143" s="203">
        <v>2</v>
      </c>
      <c r="M143" s="86">
        <f>SUMIF('Наставни ансамбл'!J53:J405,"Владо Медаковић",'Наставни ансамбл'!G53:G405)</f>
        <v>0</v>
      </c>
      <c r="N143" s="142"/>
      <c r="O143" s="112"/>
      <c r="P143" s="112"/>
      <c r="Q143" s="112"/>
      <c r="R143" s="112"/>
      <c r="S143" s="112"/>
      <c r="T143" s="112"/>
      <c r="U143" s="112"/>
      <c r="V143" s="107">
        <f>SUMIF('Наставни ансамбл'!J53:J405,"Владо Медаковић",'Наставни ансамбл'!H53:H405)</f>
        <v>0</v>
      </c>
      <c r="W143" s="139"/>
      <c r="X143" s="84">
        <f t="shared" si="19"/>
        <v>0</v>
      </c>
      <c r="Y143" s="89">
        <f t="shared" si="20"/>
        <v>0</v>
      </c>
      <c r="Z143" s="556">
        <f>(X143+X144)/2</f>
        <v>1</v>
      </c>
      <c r="AA143" s="558">
        <f>Z143/D143*100</f>
        <v>16.666666666666664</v>
      </c>
      <c r="AB143" s="556">
        <f>IF(Z143&lt;=D143,Z143,D143)</f>
        <v>1</v>
      </c>
      <c r="AC143" s="556">
        <f>IF(Z143&gt;D143,Z143-D143,0)</f>
        <v>0</v>
      </c>
      <c r="AD143" s="560">
        <v>3</v>
      </c>
      <c r="AE143" s="560">
        <v>2</v>
      </c>
    </row>
    <row r="144" spans="1:31" s="1" customFormat="1" hidden="1" x14ac:dyDescent="0.25">
      <c r="A144" s="559"/>
      <c r="B144" s="581"/>
      <c r="C144" s="90" t="s">
        <v>238</v>
      </c>
      <c r="D144" s="91">
        <v>6</v>
      </c>
      <c r="E144" s="140"/>
      <c r="F144" s="140"/>
      <c r="G144" s="140"/>
      <c r="H144" s="140"/>
      <c r="I144" s="140"/>
      <c r="J144" s="140"/>
      <c r="K144" s="140"/>
      <c r="L144" s="140"/>
      <c r="M144" s="86">
        <f>SUMIF('Наставни ансамбл'!J415:J797,"Владо Медаковић",'Наставни ансамбл'!G415:G797)</f>
        <v>2</v>
      </c>
      <c r="N144" s="111"/>
      <c r="O144" s="112"/>
      <c r="P144" s="112"/>
      <c r="Q144" s="112"/>
      <c r="R144" s="112"/>
      <c r="S144" s="112"/>
      <c r="T144" s="112"/>
      <c r="U144" s="112"/>
      <c r="V144" s="107">
        <f>SUMIF('Наставни ансамбл'!J415:J797,"Владо Медаковић",'Наставни ансамбл'!H415:H797)</f>
        <v>0</v>
      </c>
      <c r="W144" s="140"/>
      <c r="X144" s="84">
        <f t="shared" si="19"/>
        <v>2</v>
      </c>
      <c r="Y144" s="93">
        <f t="shared" si="20"/>
        <v>33.333333333333329</v>
      </c>
      <c r="Z144" s="557"/>
      <c r="AA144" s="559"/>
      <c r="AB144" s="557"/>
      <c r="AC144" s="557"/>
      <c r="AD144" s="553"/>
      <c r="AE144" s="553"/>
    </row>
    <row r="145" spans="1:31" s="1" customFormat="1" x14ac:dyDescent="0.25">
      <c r="A145" s="624">
        <v>4</v>
      </c>
      <c r="B145" s="611" t="s">
        <v>40</v>
      </c>
      <c r="C145" s="83" t="s">
        <v>237</v>
      </c>
      <c r="D145" s="84">
        <v>6</v>
      </c>
      <c r="E145" s="139"/>
      <c r="F145" s="139"/>
      <c r="G145" s="139"/>
      <c r="H145" s="139"/>
      <c r="I145" s="139"/>
      <c r="J145" s="139"/>
      <c r="K145" s="139"/>
      <c r="L145" s="139"/>
      <c r="M145" s="86">
        <f>SUMIF('Наставни ансамбл'!J14:J220,"Данимир Мандић",'Наставни ансамбл'!R14:R220)</f>
        <v>0</v>
      </c>
      <c r="N145" s="130"/>
      <c r="O145" s="86"/>
      <c r="P145" s="86"/>
      <c r="Q145" s="86"/>
      <c r="R145" s="86"/>
      <c r="S145" s="86"/>
      <c r="T145" s="86"/>
      <c r="U145" s="86"/>
      <c r="V145" s="88">
        <f>SUMIF('Наставни ансамбл'!J14:J220,"Данимир Мандић",'Наставни ансамбл'!S14:S220)</f>
        <v>0</v>
      </c>
      <c r="W145" s="139"/>
      <c r="X145" s="84">
        <f t="shared" si="19"/>
        <v>0</v>
      </c>
      <c r="Y145" s="89">
        <f t="shared" si="20"/>
        <v>0</v>
      </c>
      <c r="Z145" s="556">
        <f>(X145+X146)/2</f>
        <v>2.5</v>
      </c>
      <c r="AA145" s="558">
        <f>Z145/D145*100</f>
        <v>41.666666666666671</v>
      </c>
      <c r="AB145" s="556">
        <f>IF(Z145&lt;=D145,Z145,D145)</f>
        <v>2.5</v>
      </c>
      <c r="AC145" s="556">
        <f>IF(Z145&gt;D145,Z145-D145,0)</f>
        <v>0</v>
      </c>
      <c r="AD145" s="560">
        <v>4</v>
      </c>
      <c r="AE145" s="560">
        <v>2</v>
      </c>
    </row>
    <row r="146" spans="1:31" s="1" customFormat="1" x14ac:dyDescent="0.25">
      <c r="A146" s="626"/>
      <c r="B146" s="581"/>
      <c r="C146" s="90" t="s">
        <v>238</v>
      </c>
      <c r="D146" s="91">
        <v>6</v>
      </c>
      <c r="E146" s="140"/>
      <c r="F146" s="140"/>
      <c r="G146" s="140"/>
      <c r="H146" s="140"/>
      <c r="I146" s="140"/>
      <c r="J146" s="140"/>
      <c r="K146" s="140"/>
      <c r="L146" s="140"/>
      <c r="M146" s="86">
        <f>SUMIF('Наставни ансамбл'!J378:J585,"Данимир Мандић",'Наставни ансамбл'!R378:R585)</f>
        <v>5</v>
      </c>
      <c r="N146" s="111"/>
      <c r="O146" s="112"/>
      <c r="P146" s="112"/>
      <c r="Q146" s="112"/>
      <c r="R146" s="112"/>
      <c r="S146" s="112"/>
      <c r="T146" s="112"/>
      <c r="U146" s="112"/>
      <c r="V146" s="107">
        <f>SUMIF('Наставни ансамбл'!J378:J585,"Данимир Мандић",'Наставни ансамбл'!S378:S585)</f>
        <v>0</v>
      </c>
      <c r="W146" s="140"/>
      <c r="X146" s="129">
        <f t="shared" si="19"/>
        <v>5</v>
      </c>
      <c r="Y146" s="93">
        <f t="shared" si="20"/>
        <v>83.333333333333343</v>
      </c>
      <c r="Z146" s="557"/>
      <c r="AA146" s="559"/>
      <c r="AB146" s="557"/>
      <c r="AC146" s="557"/>
      <c r="AD146" s="553"/>
      <c r="AE146" s="553"/>
    </row>
    <row r="147" spans="1:31" s="1" customFormat="1" x14ac:dyDescent="0.25">
      <c r="A147" s="627">
        <v>5</v>
      </c>
      <c r="B147" s="587" t="s">
        <v>299</v>
      </c>
      <c r="C147" s="83" t="s">
        <v>237</v>
      </c>
      <c r="D147" s="84">
        <v>6</v>
      </c>
      <c r="E147" s="130"/>
      <c r="F147" s="130"/>
      <c r="G147" s="130"/>
      <c r="H147" s="130"/>
      <c r="I147" s="130"/>
      <c r="J147" s="130"/>
      <c r="K147" s="130"/>
      <c r="L147" s="130"/>
      <c r="M147" s="86">
        <f>SUMIF('Наставни ансамбл'!J14:J220,"Радомир Кнежевић",'Наставни ансамбл'!R14:R220)</f>
        <v>0</v>
      </c>
      <c r="N147" s="105"/>
      <c r="O147" s="112"/>
      <c r="P147" s="112"/>
      <c r="Q147" s="112"/>
      <c r="R147" s="112"/>
      <c r="S147" s="112"/>
      <c r="T147" s="112"/>
      <c r="U147" s="112"/>
      <c r="V147" s="107">
        <f>SUMIF('Наставни ансамбл'!J14:J220,"Радомир Кнежевић",'Наставни ансамбл'!S14:S220)</f>
        <v>0</v>
      </c>
      <c r="W147" s="130"/>
      <c r="X147" s="84">
        <f t="shared" si="19"/>
        <v>0</v>
      </c>
      <c r="Y147" s="113">
        <f t="shared" si="20"/>
        <v>0</v>
      </c>
      <c r="Z147" s="556">
        <f>(X147+X148)/2</f>
        <v>0</v>
      </c>
      <c r="AA147" s="558">
        <f>Z147/D147*100</f>
        <v>0</v>
      </c>
      <c r="AB147" s="556">
        <f>IF(Z147&lt;=D147,Z147,D147)</f>
        <v>0</v>
      </c>
      <c r="AC147" s="556">
        <f>IF(Z147&gt;D147,Z147-D147,0)</f>
        <v>0</v>
      </c>
      <c r="AD147" s="560">
        <v>3</v>
      </c>
      <c r="AE147" s="560">
        <v>4</v>
      </c>
    </row>
    <row r="148" spans="1:31" s="1" customFormat="1" x14ac:dyDescent="0.25">
      <c r="A148" s="626"/>
      <c r="B148" s="615"/>
      <c r="C148" s="90" t="s">
        <v>238</v>
      </c>
      <c r="D148" s="91">
        <v>6</v>
      </c>
      <c r="E148" s="140"/>
      <c r="F148" s="140"/>
      <c r="G148" s="140"/>
      <c r="H148" s="140"/>
      <c r="I148" s="140"/>
      <c r="J148" s="140"/>
      <c r="K148" s="140"/>
      <c r="L148" s="140"/>
      <c r="M148" s="86">
        <f>SUMIF('Наставни ансамбл'!J378:J585,"Радомир Кнежевић",'Наставни ансамбл'!R378:R585)</f>
        <v>0</v>
      </c>
      <c r="N148" s="131"/>
      <c r="O148" s="86"/>
      <c r="P148" s="86"/>
      <c r="Q148" s="86"/>
      <c r="R148" s="86"/>
      <c r="S148" s="86"/>
      <c r="T148" s="86"/>
      <c r="U148" s="86"/>
      <c r="V148" s="88">
        <f>SUMIF('Наставни ансамбл'!J378:J585,"Радомир Кнежевић",'Наставни ансамбл'!S378:S585)</f>
        <v>0</v>
      </c>
      <c r="W148" s="140"/>
      <c r="X148" s="129">
        <f t="shared" si="19"/>
        <v>0</v>
      </c>
      <c r="Y148" s="93">
        <f t="shared" si="20"/>
        <v>0</v>
      </c>
      <c r="Z148" s="557"/>
      <c r="AA148" s="559"/>
      <c r="AB148" s="557"/>
      <c r="AC148" s="557"/>
      <c r="AD148" s="553"/>
      <c r="AE148" s="553"/>
    </row>
    <row r="149" spans="1:31" s="1" customFormat="1" x14ac:dyDescent="0.25">
      <c r="A149" s="558">
        <v>6</v>
      </c>
      <c r="B149" s="614" t="s">
        <v>537</v>
      </c>
      <c r="C149" s="83" t="s">
        <v>237</v>
      </c>
      <c r="D149" s="84">
        <v>6</v>
      </c>
      <c r="E149" s="142"/>
      <c r="F149" s="142"/>
      <c r="G149" s="142"/>
      <c r="H149" s="142"/>
      <c r="I149" s="142"/>
      <c r="J149" s="142"/>
      <c r="K149" s="142"/>
      <c r="L149" s="142"/>
      <c r="M149" s="86">
        <f>SUMIF('Наставни ансамбл'!J14:J220,"Драгана Ваљаревић",'Наставни ансамбл'!R14:R220)</f>
        <v>7</v>
      </c>
      <c r="N149" s="105"/>
      <c r="O149" s="112"/>
      <c r="P149" s="112"/>
      <c r="Q149" s="112"/>
      <c r="R149" s="112"/>
      <c r="S149" s="112"/>
      <c r="T149" s="112"/>
      <c r="U149" s="112"/>
      <c r="V149" s="107">
        <f>SUMIF('Наставни ансамбл'!J14:J220,"Драгана Ваљаревић",'Наставни ансамбл'!S14:S220)</f>
        <v>0</v>
      </c>
      <c r="W149" s="142"/>
      <c r="X149" s="84">
        <f t="shared" si="19"/>
        <v>7</v>
      </c>
      <c r="Y149" s="113">
        <f t="shared" si="20"/>
        <v>116.66666666666667</v>
      </c>
      <c r="Z149" s="556">
        <f>(X149+X150)/2</f>
        <v>5.5</v>
      </c>
      <c r="AA149" s="558">
        <f>Z149/D149*100</f>
        <v>91.666666666666657</v>
      </c>
      <c r="AB149" s="254">
        <f>IF(Z149&lt;=D149,Z149,D149)</f>
        <v>5.5</v>
      </c>
      <c r="AC149" s="254">
        <f>IF(Z149&gt;D149,Z149-D149,0)</f>
        <v>0</v>
      </c>
      <c r="AD149" s="560">
        <v>3</v>
      </c>
      <c r="AE149" s="552">
        <v>0</v>
      </c>
    </row>
    <row r="150" spans="1:31" s="1" customFormat="1" x14ac:dyDescent="0.25">
      <c r="A150" s="559"/>
      <c r="B150" s="615"/>
      <c r="C150" s="90" t="s">
        <v>238</v>
      </c>
      <c r="D150" s="91">
        <v>6</v>
      </c>
      <c r="E150" s="111"/>
      <c r="F150" s="111"/>
      <c r="G150" s="111"/>
      <c r="H150" s="111"/>
      <c r="I150" s="111"/>
      <c r="J150" s="111"/>
      <c r="K150" s="111"/>
      <c r="L150" s="111"/>
      <c r="M150" s="86">
        <f>SUMIF('Наставни ансамбл'!J378:J585,"Драгана Ваљаревић",'Наставни ансамбл'!R378:R585)</f>
        <v>4</v>
      </c>
      <c r="N150" s="131"/>
      <c r="O150" s="86"/>
      <c r="P150" s="86"/>
      <c r="Q150" s="86"/>
      <c r="R150" s="86"/>
      <c r="S150" s="86"/>
      <c r="T150" s="86"/>
      <c r="U150" s="86"/>
      <c r="V150" s="88">
        <f>SUMIF('Наставни ансамбл'!J378:J585,"Драгана Ваљаревић",'Наставни ансамбл'!S378:S585)</f>
        <v>0</v>
      </c>
      <c r="W150" s="111"/>
      <c r="X150" s="129">
        <f t="shared" si="19"/>
        <v>4</v>
      </c>
      <c r="Y150" s="93">
        <f t="shared" si="20"/>
        <v>66.666666666666657</v>
      </c>
      <c r="Z150" s="557"/>
      <c r="AA150" s="559"/>
      <c r="AB150" s="253"/>
      <c r="AC150" s="253"/>
      <c r="AD150" s="553"/>
      <c r="AE150" s="583"/>
    </row>
    <row r="151" spans="1:31" s="1" customFormat="1" x14ac:dyDescent="0.25">
      <c r="A151" s="558">
        <v>7</v>
      </c>
      <c r="B151" s="614" t="s">
        <v>411</v>
      </c>
      <c r="C151" s="83" t="s">
        <v>237</v>
      </c>
      <c r="D151" s="84">
        <v>6</v>
      </c>
      <c r="E151" s="142"/>
      <c r="F151" s="142"/>
      <c r="G151" s="142"/>
      <c r="H151" s="142"/>
      <c r="I151" s="142"/>
      <c r="J151" s="142"/>
      <c r="K151" s="142"/>
      <c r="L151" s="142"/>
      <c r="M151" s="86">
        <f>SUMIF('Наставни ансамбл'!J14:J220,"Небојша Ралевић",'Наставни ансамбл'!R14:R220)</f>
        <v>6</v>
      </c>
      <c r="N151" s="142"/>
      <c r="O151" s="112"/>
      <c r="P151" s="112"/>
      <c r="Q151" s="112"/>
      <c r="R151" s="112"/>
      <c r="S151" s="112"/>
      <c r="T151" s="112"/>
      <c r="U151" s="112"/>
      <c r="V151" s="107">
        <f>SUMIF('Наставни ансамбл'!J14:J220,"Небојша Ралевић",'Наставни ансамбл'!S14:S220)</f>
        <v>0</v>
      </c>
      <c r="W151" s="142"/>
      <c r="X151" s="84">
        <f t="shared" si="19"/>
        <v>6</v>
      </c>
      <c r="Y151" s="113">
        <f t="shared" si="20"/>
        <v>100</v>
      </c>
      <c r="Z151" s="556">
        <f>(X151+X152)/2</f>
        <v>3</v>
      </c>
      <c r="AA151" s="558">
        <f>Z151/D151*100</f>
        <v>50</v>
      </c>
      <c r="AB151" s="254">
        <f>IF(Z151&lt;=D151,Z151,D151)</f>
        <v>3</v>
      </c>
      <c r="AC151" s="254">
        <f>IF(Z151&gt;D151,Z151-D151,0)</f>
        <v>0</v>
      </c>
      <c r="AD151" s="560">
        <v>2</v>
      </c>
      <c r="AE151" s="552">
        <v>0</v>
      </c>
    </row>
    <row r="152" spans="1:31" s="1" customFormat="1" x14ac:dyDescent="0.25">
      <c r="A152" s="559">
        <v>5.8571428571428603</v>
      </c>
      <c r="B152" s="615"/>
      <c r="C152" s="90" t="s">
        <v>238</v>
      </c>
      <c r="D152" s="91">
        <v>6</v>
      </c>
      <c r="E152" s="111"/>
      <c r="F152" s="111"/>
      <c r="G152" s="111"/>
      <c r="H152" s="111"/>
      <c r="I152" s="111"/>
      <c r="J152" s="111"/>
      <c r="K152" s="111"/>
      <c r="L152" s="111"/>
      <c r="M152" s="86">
        <f>SUMIF('Наставни ансамбл'!J378:J585,"Небојша Ралевић",'Наставни ансамбл'!R378:R585)</f>
        <v>0</v>
      </c>
      <c r="N152" s="111"/>
      <c r="O152" s="112"/>
      <c r="P152" s="112"/>
      <c r="Q152" s="112"/>
      <c r="R152" s="112"/>
      <c r="S152" s="112"/>
      <c r="T152" s="112"/>
      <c r="U152" s="112"/>
      <c r="V152" s="107">
        <f>SUMIF('Наставни ансамбл'!J378:J585,"Небојша Ралевић",'Наставни ансамбл'!S378:S585)</f>
        <v>0</v>
      </c>
      <c r="W152" s="111"/>
      <c r="X152" s="129">
        <f t="shared" si="19"/>
        <v>0</v>
      </c>
      <c r="Y152" s="93">
        <f t="shared" si="20"/>
        <v>0</v>
      </c>
      <c r="Z152" s="557"/>
      <c r="AA152" s="559"/>
      <c r="AB152" s="253"/>
      <c r="AC152" s="253"/>
      <c r="AD152" s="553"/>
      <c r="AE152" s="583"/>
    </row>
    <row r="153" spans="1:31" s="1" customFormat="1" x14ac:dyDescent="0.25">
      <c r="A153" s="558">
        <v>8</v>
      </c>
      <c r="B153" s="614" t="s">
        <v>533</v>
      </c>
      <c r="C153" s="83" t="s">
        <v>237</v>
      </c>
      <c r="D153" s="84">
        <v>6</v>
      </c>
      <c r="E153" s="142"/>
      <c r="F153" s="142"/>
      <c r="G153" s="142"/>
      <c r="H153" s="142"/>
      <c r="I153" s="142"/>
      <c r="J153" s="142"/>
      <c r="K153" s="142"/>
      <c r="L153" s="142"/>
      <c r="M153" s="86">
        <f>SUMIF('Наставни ансамбл'!J14:J220,"Ацо Антић",'Наставни ансамбл'!R14:R220)</f>
        <v>2</v>
      </c>
      <c r="N153" s="130"/>
      <c r="O153" s="86"/>
      <c r="P153" s="86"/>
      <c r="Q153" s="86"/>
      <c r="R153" s="86"/>
      <c r="S153" s="86"/>
      <c r="T153" s="86"/>
      <c r="U153" s="86"/>
      <c r="V153" s="88">
        <f>SUMIF('Наставни ансамбл'!J14:J220,"Ацо Антић",'Наставни ансамбл'!S14:S220)</f>
        <v>2</v>
      </c>
      <c r="W153" s="142"/>
      <c r="X153" s="84">
        <f t="shared" si="19"/>
        <v>3.2</v>
      </c>
      <c r="Y153" s="113">
        <f t="shared" si="20"/>
        <v>53.333333333333336</v>
      </c>
      <c r="Z153" s="556">
        <f>(X153+X154)/2</f>
        <v>1.6</v>
      </c>
      <c r="AA153" s="558">
        <f>Z153/D153*100</f>
        <v>26.666666666666668</v>
      </c>
      <c r="AB153" s="254">
        <f>IF(Z153&lt;=D153,Z153,D153)</f>
        <v>1.6</v>
      </c>
      <c r="AC153" s="254">
        <f>IF(Z153&gt;D153,Z153-D153,0)</f>
        <v>0</v>
      </c>
      <c r="AD153" s="560">
        <v>2</v>
      </c>
      <c r="AE153" s="552">
        <v>0</v>
      </c>
    </row>
    <row r="154" spans="1:31" s="1" customFormat="1" x14ac:dyDescent="0.25">
      <c r="A154" s="559">
        <v>6.4285714285714297</v>
      </c>
      <c r="B154" s="615"/>
      <c r="C154" s="90" t="s">
        <v>238</v>
      </c>
      <c r="D154" s="91">
        <v>6</v>
      </c>
      <c r="E154" s="111"/>
      <c r="F154" s="111"/>
      <c r="G154" s="111"/>
      <c r="H154" s="111"/>
      <c r="I154" s="111"/>
      <c r="J154" s="111"/>
      <c r="K154" s="111"/>
      <c r="L154" s="111"/>
      <c r="M154" s="86">
        <f>SUMIF('Наставни ансамбл'!J378:J585,"Ацо Антић",'Наставни ансамбл'!R378:R585)</f>
        <v>0</v>
      </c>
      <c r="N154" s="111"/>
      <c r="O154" s="112"/>
      <c r="P154" s="112"/>
      <c r="Q154" s="112"/>
      <c r="R154" s="112"/>
      <c r="S154" s="112"/>
      <c r="T154" s="112"/>
      <c r="U154" s="112"/>
      <c r="V154" s="107">
        <f>SUMIF('Наставни ансамбл'!J378:J585,"Ацо Антић",'Наставни ансамбл'!S378:S585)</f>
        <v>0</v>
      </c>
      <c r="W154" s="111"/>
      <c r="X154" s="129">
        <f t="shared" si="19"/>
        <v>0</v>
      </c>
      <c r="Y154" s="93">
        <f t="shared" si="20"/>
        <v>0</v>
      </c>
      <c r="Z154" s="557"/>
      <c r="AA154" s="559"/>
      <c r="AB154" s="253"/>
      <c r="AC154" s="253"/>
      <c r="AD154" s="553"/>
      <c r="AE154" s="583"/>
    </row>
    <row r="155" spans="1:31" s="1" customFormat="1" x14ac:dyDescent="0.25">
      <c r="A155" s="624">
        <v>9</v>
      </c>
      <c r="B155" s="630" t="s">
        <v>534</v>
      </c>
      <c r="C155" s="83" t="s">
        <v>237</v>
      </c>
      <c r="D155" s="84">
        <v>6</v>
      </c>
      <c r="E155" s="142"/>
      <c r="F155" s="142"/>
      <c r="G155" s="142"/>
      <c r="H155" s="142"/>
      <c r="I155" s="142"/>
      <c r="J155" s="142"/>
      <c r="K155" s="142"/>
      <c r="L155" s="142"/>
      <c r="M155" s="86">
        <f>SUMIF('Наставни ансамбл'!J14:J220,"Љубо Недовић",'Наставни ансамбл'!R14:R220)</f>
        <v>4</v>
      </c>
      <c r="N155" s="105"/>
      <c r="O155" s="112"/>
      <c r="P155" s="112"/>
      <c r="Q155" s="112"/>
      <c r="R155" s="112"/>
      <c r="S155" s="112"/>
      <c r="T155" s="112"/>
      <c r="U155" s="112"/>
      <c r="V155" s="107">
        <f>SUMIF('Наставни ансамбл'!J14:J220,"Љубо Недовић",'Наставни ансамбл'!S14:S220)</f>
        <v>0</v>
      </c>
      <c r="W155" s="142"/>
      <c r="X155" s="84">
        <f t="shared" si="19"/>
        <v>4</v>
      </c>
      <c r="Y155" s="113">
        <f t="shared" si="20"/>
        <v>66.666666666666657</v>
      </c>
      <c r="Z155" s="556">
        <f>(X155+X156)/2</f>
        <v>2</v>
      </c>
      <c r="AA155" s="558">
        <f>Z155/D155*100</f>
        <v>33.333333333333329</v>
      </c>
      <c r="AB155" s="254">
        <f>IF(Z155&lt;=D155,Z155,D155)</f>
        <v>2</v>
      </c>
      <c r="AC155" s="254">
        <f>IF(Z155&gt;D155,Z155-D155,0)</f>
        <v>0</v>
      </c>
      <c r="AD155" s="560">
        <v>2</v>
      </c>
      <c r="AE155" s="552">
        <v>2</v>
      </c>
    </row>
    <row r="156" spans="1:31" s="1" customFormat="1" x14ac:dyDescent="0.25">
      <c r="A156" s="625">
        <v>7</v>
      </c>
      <c r="B156" s="631"/>
      <c r="C156" s="90" t="s">
        <v>238</v>
      </c>
      <c r="D156" s="91">
        <v>6</v>
      </c>
      <c r="E156" s="111"/>
      <c r="F156" s="111"/>
      <c r="G156" s="111"/>
      <c r="H156" s="111"/>
      <c r="I156" s="111"/>
      <c r="J156" s="111"/>
      <c r="K156" s="111"/>
      <c r="L156" s="111"/>
      <c r="M156" s="86">
        <f>SUMIF('Наставни ансамбл'!J378:J585,"Љубо Недовић",'Наставни ансамбл'!R378:R585)</f>
        <v>0</v>
      </c>
      <c r="N156" s="131"/>
      <c r="O156" s="86"/>
      <c r="P156" s="86"/>
      <c r="Q156" s="86"/>
      <c r="R156" s="86"/>
      <c r="S156" s="86"/>
      <c r="T156" s="86"/>
      <c r="U156" s="86"/>
      <c r="V156" s="88">
        <f>SUMIF('Наставни ансамбл'!J378:J585,"Љубо Недовић",'Наставни ансамбл'!S378:S585)</f>
        <v>0</v>
      </c>
      <c r="W156" s="111"/>
      <c r="X156" s="129">
        <f t="shared" si="19"/>
        <v>0</v>
      </c>
      <c r="Y156" s="93">
        <f t="shared" si="20"/>
        <v>0</v>
      </c>
      <c r="Z156" s="557"/>
      <c r="AA156" s="559"/>
      <c r="AB156" s="253"/>
      <c r="AC156" s="253"/>
      <c r="AD156" s="553"/>
      <c r="AE156" s="583"/>
    </row>
    <row r="157" spans="1:31" s="1" customFormat="1" x14ac:dyDescent="0.25">
      <c r="A157" s="558">
        <v>10</v>
      </c>
      <c r="B157" s="614" t="s">
        <v>535</v>
      </c>
      <c r="C157" s="83" t="s">
        <v>237</v>
      </c>
      <c r="D157" s="84">
        <v>6</v>
      </c>
      <c r="E157" s="142"/>
      <c r="F157" s="142"/>
      <c r="G157" s="142"/>
      <c r="H157" s="142"/>
      <c r="I157" s="142"/>
      <c r="J157" s="142"/>
      <c r="K157" s="142"/>
      <c r="L157" s="142"/>
      <c r="M157" s="86">
        <f>SUMIF('Наставни ансамбл'!J14:J220,"Владимир Илић",'Наставни ансамбл'!R14:R220)</f>
        <v>0</v>
      </c>
      <c r="N157" s="84"/>
      <c r="O157" s="86"/>
      <c r="P157" s="86"/>
      <c r="Q157" s="86"/>
      <c r="R157" s="86"/>
      <c r="S157" s="86"/>
      <c r="T157" s="86"/>
      <c r="U157" s="86"/>
      <c r="V157" s="88">
        <f>SUMIF('Наставни ансамбл'!J14:J220,"Владимир Илић",'Наставни ансамбл'!S14:S220)</f>
        <v>0</v>
      </c>
      <c r="W157" s="142"/>
      <c r="X157" s="84">
        <f t="shared" si="19"/>
        <v>0</v>
      </c>
      <c r="Y157" s="113">
        <f t="shared" si="20"/>
        <v>0</v>
      </c>
      <c r="Z157" s="556">
        <f>(X157+X158)/2</f>
        <v>1</v>
      </c>
      <c r="AA157" s="558">
        <f>Z157/D157*100</f>
        <v>16.666666666666664</v>
      </c>
      <c r="AB157" s="254">
        <f>IF(Z157&lt;=D157,Z157,D157)</f>
        <v>1</v>
      </c>
      <c r="AC157" s="254">
        <f>IF(Z157&gt;D157,Z157-D157,0)</f>
        <v>0</v>
      </c>
      <c r="AD157" s="560">
        <v>3</v>
      </c>
      <c r="AE157" s="552">
        <v>0</v>
      </c>
    </row>
    <row r="158" spans="1:31" s="1" customFormat="1" x14ac:dyDescent="0.25">
      <c r="A158" s="559">
        <v>7.5714285714285801</v>
      </c>
      <c r="B158" s="615"/>
      <c r="C158" s="90" t="s">
        <v>238</v>
      </c>
      <c r="D158" s="91">
        <v>6</v>
      </c>
      <c r="E158" s="111"/>
      <c r="F158" s="111"/>
      <c r="G158" s="111"/>
      <c r="H158" s="111"/>
      <c r="I158" s="111"/>
      <c r="J158" s="111"/>
      <c r="K158" s="111"/>
      <c r="L158" s="111"/>
      <c r="M158" s="86">
        <f>SUMIF('Наставни ансамбл'!J378:J585,"Владимир Илић",'Наставни ансамбл'!R378:R585)</f>
        <v>2</v>
      </c>
      <c r="N158" s="140"/>
      <c r="O158" s="86"/>
      <c r="P158" s="86"/>
      <c r="Q158" s="86"/>
      <c r="R158" s="86"/>
      <c r="S158" s="86"/>
      <c r="T158" s="86"/>
      <c r="U158" s="86"/>
      <c r="V158" s="88">
        <f>SUMIF('Наставни ансамбл'!J378:J585,"Владимир Илић",'Наставни ансамбл'!S378:S585)</f>
        <v>0</v>
      </c>
      <c r="W158" s="111"/>
      <c r="X158" s="129">
        <f t="shared" si="19"/>
        <v>2</v>
      </c>
      <c r="Y158" s="93">
        <f t="shared" si="20"/>
        <v>33.333333333333329</v>
      </c>
      <c r="Z158" s="557"/>
      <c r="AA158" s="559"/>
      <c r="AB158" s="253"/>
      <c r="AC158" s="253"/>
      <c r="AD158" s="553"/>
      <c r="AE158" s="583"/>
    </row>
    <row r="159" spans="1:31" s="1" customFormat="1" x14ac:dyDescent="0.25">
      <c r="A159" s="624">
        <v>11</v>
      </c>
      <c r="B159" s="614" t="s">
        <v>536</v>
      </c>
      <c r="C159" s="83" t="s">
        <v>237</v>
      </c>
      <c r="D159" s="84">
        <v>6</v>
      </c>
      <c r="E159" s="142"/>
      <c r="F159" s="142"/>
      <c r="G159" s="142"/>
      <c r="H159" s="142"/>
      <c r="I159" s="142"/>
      <c r="J159" s="142"/>
      <c r="K159" s="142"/>
      <c r="L159" s="142"/>
      <c r="M159" s="86">
        <f>SUMIF('Наставни ансамбл'!J14:J220,"Срђан Попов",'Наставни ансамбл'!R14:R220)</f>
        <v>0</v>
      </c>
      <c r="N159" s="105"/>
      <c r="O159" s="112"/>
      <c r="P159" s="112"/>
      <c r="Q159" s="112"/>
      <c r="R159" s="112"/>
      <c r="S159" s="112"/>
      <c r="T159" s="112"/>
      <c r="U159" s="112"/>
      <c r="V159" s="107">
        <f>SUMIF('Наставни ансамбл'!J14:J220,"Срђан Попов",'Наставни ансамбл'!S14:S220)</f>
        <v>0</v>
      </c>
      <c r="W159" s="142"/>
      <c r="X159" s="84">
        <f t="shared" si="19"/>
        <v>0</v>
      </c>
      <c r="Y159" s="113">
        <f t="shared" si="20"/>
        <v>0</v>
      </c>
      <c r="Z159" s="556">
        <f>(X159+X160)/2</f>
        <v>1.9</v>
      </c>
      <c r="AA159" s="558">
        <f>Z159/D159*100</f>
        <v>31.666666666666664</v>
      </c>
      <c r="AB159" s="254">
        <f>IF(Z159&lt;=D159,Z159,D159)</f>
        <v>1.9</v>
      </c>
      <c r="AC159" s="254">
        <f>IF(Z159&gt;D159,Z159-D159,0)</f>
        <v>0</v>
      </c>
      <c r="AD159" s="560">
        <v>3</v>
      </c>
      <c r="AE159" s="552">
        <v>0</v>
      </c>
    </row>
    <row r="160" spans="1:31" s="1" customFormat="1" x14ac:dyDescent="0.25">
      <c r="A160" s="626">
        <v>8.1428571428571495</v>
      </c>
      <c r="B160" s="615"/>
      <c r="C160" s="90" t="s">
        <v>238</v>
      </c>
      <c r="D160" s="91">
        <v>6</v>
      </c>
      <c r="E160" s="111"/>
      <c r="F160" s="111"/>
      <c r="G160" s="111"/>
      <c r="H160" s="111"/>
      <c r="I160" s="111"/>
      <c r="J160" s="111"/>
      <c r="K160" s="111"/>
      <c r="L160" s="111"/>
      <c r="M160" s="86">
        <f>SUMIF('Наставни ансамбл'!J378:J585,"Срђан Попов",'Наставни ансамбл'!R378:R585)</f>
        <v>2</v>
      </c>
      <c r="N160" s="131"/>
      <c r="O160" s="86"/>
      <c r="P160" s="86"/>
      <c r="Q160" s="86"/>
      <c r="R160" s="86"/>
      <c r="S160" s="86"/>
      <c r="T160" s="86"/>
      <c r="U160" s="86"/>
      <c r="V160" s="88">
        <f>SUMIF('Наставни ансамбл'!J378:J585,"Срђан Попов",'Наставни ансамбл'!S378:S585)</f>
        <v>3</v>
      </c>
      <c r="W160" s="111"/>
      <c r="X160" s="129">
        <f t="shared" si="19"/>
        <v>3.8</v>
      </c>
      <c r="Y160" s="93">
        <f t="shared" si="20"/>
        <v>63.333333333333329</v>
      </c>
      <c r="Z160" s="557"/>
      <c r="AA160" s="559"/>
      <c r="AB160" s="253"/>
      <c r="AC160" s="253"/>
      <c r="AD160" s="553"/>
      <c r="AE160" s="583"/>
    </row>
    <row r="161" spans="1:31" s="1" customFormat="1" x14ac:dyDescent="0.25">
      <c r="A161" s="627">
        <v>12</v>
      </c>
      <c r="B161" s="614" t="s">
        <v>546</v>
      </c>
      <c r="C161" s="83" t="s">
        <v>237</v>
      </c>
      <c r="D161" s="84">
        <v>6</v>
      </c>
      <c r="E161" s="142"/>
      <c r="F161" s="142"/>
      <c r="G161" s="142"/>
      <c r="H161" s="142"/>
      <c r="I161" s="142"/>
      <c r="J161" s="142"/>
      <c r="K161" s="142"/>
      <c r="L161" s="142"/>
      <c r="M161" s="86">
        <f>SUMIF('Наставни ансамбл'!J10:J364,"Весна Стојаковић",'Наставни ансамбл'!R10:R364)</f>
        <v>0</v>
      </c>
      <c r="N161" s="142"/>
      <c r="O161" s="112"/>
      <c r="P161" s="112"/>
      <c r="Q161" s="112"/>
      <c r="R161" s="112"/>
      <c r="S161" s="112"/>
      <c r="T161" s="112"/>
      <c r="U161" s="112"/>
      <c r="V161" s="107">
        <f>SUMIF('Наставни ансамбл'!J10:J364,"Весна Стојаковић",'Наставни ансамбл'!S10:S364)</f>
        <v>0</v>
      </c>
      <c r="W161" s="142"/>
      <c r="X161" s="84">
        <f t="shared" si="19"/>
        <v>0</v>
      </c>
      <c r="Y161" s="113">
        <f t="shared" si="20"/>
        <v>0</v>
      </c>
      <c r="Z161" s="556">
        <f>(X161+X162)/2</f>
        <v>0</v>
      </c>
      <c r="AA161" s="558">
        <f>Z161/D161*100</f>
        <v>0</v>
      </c>
      <c r="AB161" s="254">
        <f>IF(Z161&lt;=D161,Z161,D161)</f>
        <v>0</v>
      </c>
      <c r="AC161" s="254">
        <f>IF(Z161&gt;D161,Z161-D161,0)</f>
        <v>0</v>
      </c>
      <c r="AD161" s="560">
        <v>3</v>
      </c>
      <c r="AE161" s="552">
        <v>0</v>
      </c>
    </row>
    <row r="162" spans="1:31" s="1" customFormat="1" x14ac:dyDescent="0.25">
      <c r="A162" s="626"/>
      <c r="B162" s="615"/>
      <c r="C162" s="90" t="s">
        <v>238</v>
      </c>
      <c r="D162" s="91">
        <v>6</v>
      </c>
      <c r="E162" s="111"/>
      <c r="F162" s="111"/>
      <c r="G162" s="111"/>
      <c r="H162" s="111"/>
      <c r="I162" s="111"/>
      <c r="J162" s="111"/>
      <c r="K162" s="111"/>
      <c r="L162" s="111"/>
      <c r="M162" s="86">
        <f>SUMIF('Наставни ансамбл'!J11:J365,"Весна Стојаковић",'Наставни ансамбл'!R11:R365)</f>
        <v>0</v>
      </c>
      <c r="N162" s="111"/>
      <c r="O162" s="112"/>
      <c r="P162" s="112"/>
      <c r="Q162" s="112"/>
      <c r="R162" s="112"/>
      <c r="S162" s="112"/>
      <c r="T162" s="112"/>
      <c r="U162" s="112"/>
      <c r="V162" s="107">
        <f>SUMIF('Наставни ансамбл'!J11:J365,"Весна Стојаковић",'Наставни ансамбл'!S11:S365)</f>
        <v>0</v>
      </c>
      <c r="W162" s="111"/>
      <c r="X162" s="129">
        <f t="shared" si="19"/>
        <v>0</v>
      </c>
      <c r="Y162" s="93">
        <f t="shared" si="20"/>
        <v>0</v>
      </c>
      <c r="Z162" s="557"/>
      <c r="AA162" s="559"/>
      <c r="AB162" s="253"/>
      <c r="AC162" s="253"/>
      <c r="AD162" s="553"/>
      <c r="AE162" s="583"/>
    </row>
    <row r="163" spans="1:31" s="1" customFormat="1" x14ac:dyDescent="0.25">
      <c r="A163" s="627">
        <v>13</v>
      </c>
      <c r="B163" s="614" t="s">
        <v>541</v>
      </c>
      <c r="C163" s="83" t="s">
        <v>237</v>
      </c>
      <c r="D163" s="84">
        <v>6</v>
      </c>
      <c r="E163" s="142"/>
      <c r="F163" s="142"/>
      <c r="G163" s="142"/>
      <c r="H163" s="142"/>
      <c r="I163" s="142"/>
      <c r="J163" s="142"/>
      <c r="K163" s="142"/>
      <c r="L163" s="142"/>
      <c r="M163" s="86">
        <f>SUMIF('Наставни ансамбл'!J12:J366,"Јелена Старчевић",'Наставни ансамбл'!R12:R366)</f>
        <v>1</v>
      </c>
      <c r="N163" s="142"/>
      <c r="O163" s="112"/>
      <c r="P163" s="112"/>
      <c r="Q163" s="112"/>
      <c r="R163" s="112"/>
      <c r="S163" s="112"/>
      <c r="T163" s="112"/>
      <c r="U163" s="112"/>
      <c r="V163" s="107">
        <f>SUMIF('Наставни ансамбл'!J12:J366,"Јелена Старчевић",'Наставни ансамбл'!S12:S366)</f>
        <v>2</v>
      </c>
      <c r="W163" s="142"/>
      <c r="X163" s="84">
        <f t="shared" si="19"/>
        <v>2.2000000000000002</v>
      </c>
      <c r="Y163" s="113">
        <f t="shared" si="20"/>
        <v>36.666666666666671</v>
      </c>
      <c r="Z163" s="556">
        <f>(X163+X164)/2</f>
        <v>2.2000000000000002</v>
      </c>
      <c r="AA163" s="558">
        <f>Z163/D163*100</f>
        <v>36.666666666666671</v>
      </c>
      <c r="AB163" s="254">
        <f>IF(Z163&lt;=D163,Z163,D163)</f>
        <v>2.2000000000000002</v>
      </c>
      <c r="AC163" s="254">
        <f>IF(Z163&gt;D163,Z163-D163,0)</f>
        <v>0</v>
      </c>
      <c r="AD163" s="560">
        <v>3</v>
      </c>
      <c r="AE163" s="552">
        <v>0</v>
      </c>
    </row>
    <row r="164" spans="1:31" s="1" customFormat="1" x14ac:dyDescent="0.25">
      <c r="A164" s="626"/>
      <c r="B164" s="615"/>
      <c r="C164" s="90" t="s">
        <v>238</v>
      </c>
      <c r="D164" s="91">
        <v>6</v>
      </c>
      <c r="E164" s="111"/>
      <c r="F164" s="111"/>
      <c r="G164" s="111"/>
      <c r="H164" s="111"/>
      <c r="I164" s="111"/>
      <c r="J164" s="111"/>
      <c r="K164" s="111"/>
      <c r="L164" s="111"/>
      <c r="M164" s="86">
        <f>SUMIF('Наставни ансамбл'!J13:J367,"Јелена Старчевић",'Наставни ансамбл'!R13:R367)</f>
        <v>1</v>
      </c>
      <c r="N164" s="111"/>
      <c r="O164" s="112"/>
      <c r="P164" s="112"/>
      <c r="Q164" s="112"/>
      <c r="R164" s="112"/>
      <c r="S164" s="112"/>
      <c r="T164" s="112"/>
      <c r="U164" s="112"/>
      <c r="V164" s="107">
        <f>SUMIF('Наставни ансамбл'!J13:J367,"Јелена Старчевић",'Наставни ансамбл'!S13:S367)</f>
        <v>2</v>
      </c>
      <c r="W164" s="111"/>
      <c r="X164" s="129">
        <f t="shared" si="19"/>
        <v>2.2000000000000002</v>
      </c>
      <c r="Y164" s="93">
        <f t="shared" si="20"/>
        <v>36.666666666666671</v>
      </c>
      <c r="Z164" s="557"/>
      <c r="AA164" s="559"/>
      <c r="AB164" s="253"/>
      <c r="AC164" s="253"/>
      <c r="AD164" s="553"/>
      <c r="AE164" s="583"/>
    </row>
    <row r="165" spans="1:31" s="1" customFormat="1" x14ac:dyDescent="0.25">
      <c r="A165" s="627">
        <v>14</v>
      </c>
      <c r="B165" s="628" t="s">
        <v>381</v>
      </c>
      <c r="C165" s="83" t="s">
        <v>237</v>
      </c>
      <c r="D165" s="84">
        <v>6</v>
      </c>
      <c r="E165" s="142"/>
      <c r="F165" s="142"/>
      <c r="G165" s="142"/>
      <c r="H165" s="142"/>
      <c r="I165" s="142"/>
      <c r="J165" s="142"/>
      <c r="K165" s="142"/>
      <c r="L165" s="142"/>
      <c r="M165" s="86">
        <f>SUMIF('Наставни ансамбл'!J14:J220,"Александра Новаковић",'Наставни ансамбл'!R14:R220)</f>
        <v>4</v>
      </c>
      <c r="N165" s="142"/>
      <c r="O165" s="112"/>
      <c r="P165" s="112"/>
      <c r="Q165" s="112"/>
      <c r="R165" s="112"/>
      <c r="S165" s="112"/>
      <c r="T165" s="112"/>
      <c r="U165" s="112"/>
      <c r="V165" s="107">
        <f>SUMIF('Наставни ансамбл'!J14:J220,"Александра Новаковић",'Наставни ансамбл'!S14:S220)</f>
        <v>2</v>
      </c>
      <c r="W165" s="142"/>
      <c r="X165" s="84">
        <f t="shared" si="19"/>
        <v>5.2</v>
      </c>
      <c r="Y165" s="113">
        <f t="shared" si="20"/>
        <v>86.666666666666671</v>
      </c>
      <c r="Z165" s="556">
        <f>(X165+X166)/2</f>
        <v>6.2</v>
      </c>
      <c r="AA165" s="558">
        <f>Z165/D165*100</f>
        <v>103.33333333333334</v>
      </c>
      <c r="AB165" s="254">
        <f>IF(Z165&lt;=D165,Z165,D165)</f>
        <v>6</v>
      </c>
      <c r="AC165" s="254">
        <f>IF(Z165&gt;D165,Z165-D165,0)</f>
        <v>0.20000000000000018</v>
      </c>
      <c r="AD165" s="560">
        <v>3</v>
      </c>
      <c r="AE165" s="552">
        <v>0</v>
      </c>
    </row>
    <row r="166" spans="1:31" s="1" customFormat="1" x14ac:dyDescent="0.25">
      <c r="A166" s="626"/>
      <c r="B166" s="629"/>
      <c r="C166" s="90" t="s">
        <v>238</v>
      </c>
      <c r="D166" s="91">
        <v>6</v>
      </c>
      <c r="E166" s="111"/>
      <c r="F166" s="111"/>
      <c r="G166" s="111"/>
      <c r="H166" s="111"/>
      <c r="I166" s="111"/>
      <c r="J166" s="111"/>
      <c r="K166" s="111"/>
      <c r="L166" s="111"/>
      <c r="M166" s="86">
        <f>SUMIF('Наставни ансамбл'!J378:J585,"Александра Новаковић",'Наставни ансамбл'!R378:R585)</f>
        <v>6</v>
      </c>
      <c r="N166" s="111"/>
      <c r="O166" s="112"/>
      <c r="P166" s="112"/>
      <c r="Q166" s="112"/>
      <c r="R166" s="112"/>
      <c r="S166" s="112"/>
      <c r="T166" s="112"/>
      <c r="U166" s="112"/>
      <c r="V166" s="107">
        <f>SUMIF('Наставни ансамбл'!J378:J585,"Александра Новаковић",'Наставни ансамбл'!S378:S585)</f>
        <v>2</v>
      </c>
      <c r="W166" s="111"/>
      <c r="X166" s="91">
        <f t="shared" si="19"/>
        <v>7.2</v>
      </c>
      <c r="Y166" s="93">
        <f t="shared" si="20"/>
        <v>120</v>
      </c>
      <c r="Z166" s="557"/>
      <c r="AA166" s="559"/>
      <c r="AB166" s="253"/>
      <c r="AC166" s="253"/>
      <c r="AD166" s="553"/>
      <c r="AE166" s="583"/>
    </row>
    <row r="167" spans="1:31" s="1" customFormat="1" x14ac:dyDescent="0.25">
      <c r="B167" s="605" t="s">
        <v>251</v>
      </c>
      <c r="C167" s="606" t="s">
        <v>237</v>
      </c>
      <c r="D167" s="606"/>
      <c r="E167" s="260"/>
      <c r="F167" s="260"/>
      <c r="G167" s="260"/>
      <c r="H167" s="260"/>
      <c r="I167" s="260"/>
      <c r="J167" s="260"/>
      <c r="K167" s="260"/>
      <c r="L167" s="260"/>
      <c r="M167" s="260">
        <f>SUM(M135,M137,M139,M145,M147,M149,M151,M153,M155,M157,M159,M165)</f>
        <v>26</v>
      </c>
      <c r="N167" s="257"/>
      <c r="O167" s="257"/>
      <c r="P167" s="257"/>
      <c r="Q167" s="257"/>
      <c r="R167" s="257"/>
      <c r="S167" s="257"/>
      <c r="T167" s="257"/>
      <c r="U167" s="257"/>
      <c r="V167" s="257">
        <f>SUM(V135,V137,V139,V145,V147,V149,V151,V153,V155,V157,V159,V165)</f>
        <v>4</v>
      </c>
      <c r="W167" s="257"/>
      <c r="X167" s="257">
        <f>SUM(X135,X137,X139,X145,X147,X149,X151,X153,X155,X157,X159,X165)</f>
        <v>28.4</v>
      </c>
      <c r="Y167" s="91"/>
      <c r="Z167" s="599">
        <f>SUM(Z135:Z166)</f>
        <v>29.4</v>
      </c>
    </row>
    <row r="168" spans="1:31" s="1" customFormat="1" x14ac:dyDescent="0.25">
      <c r="B168" s="605"/>
      <c r="C168" s="608" t="s">
        <v>238</v>
      </c>
      <c r="D168" s="608"/>
      <c r="E168" s="257"/>
      <c r="F168" s="257"/>
      <c r="G168" s="257"/>
      <c r="H168" s="257"/>
      <c r="I168" s="257"/>
      <c r="J168" s="257"/>
      <c r="K168" s="257"/>
      <c r="L168" s="257"/>
      <c r="M168" s="257">
        <f>SUM(M136,M138,M140,M146,M148,M150,M152,M154,M156,M158,M160,M166)</f>
        <v>19</v>
      </c>
      <c r="N168" s="257"/>
      <c r="O168" s="257"/>
      <c r="P168" s="257"/>
      <c r="Q168" s="257"/>
      <c r="R168" s="257"/>
      <c r="S168" s="257"/>
      <c r="T168" s="257"/>
      <c r="U168" s="257"/>
      <c r="V168" s="257">
        <f>SUM(V136,V138,V140,V146,V148,V150,V152,V154,V156,V158,V160,V166)</f>
        <v>5</v>
      </c>
      <c r="W168" s="257"/>
      <c r="X168" s="257">
        <f>SUM(X136,X138,X140,X146,X148,X150,X152,X154,X156,X158,X160,X166)</f>
        <v>22</v>
      </c>
      <c r="Y168" s="91"/>
      <c r="Z168" s="632"/>
    </row>
  </sheetData>
  <mergeCells count="590">
    <mergeCell ref="A63:A64"/>
    <mergeCell ref="B63:B64"/>
    <mergeCell ref="Z63:Z64"/>
    <mergeCell ref="AA63:AA64"/>
    <mergeCell ref="AB63:AB64"/>
    <mergeCell ref="AC63:AC64"/>
    <mergeCell ref="AD63:AD64"/>
    <mergeCell ref="AE63:AE64"/>
    <mergeCell ref="B167:B168"/>
    <mergeCell ref="C167:D167"/>
    <mergeCell ref="Z167:Z168"/>
    <mergeCell ref="C168:D168"/>
    <mergeCell ref="A165:A166"/>
    <mergeCell ref="B165:B166"/>
    <mergeCell ref="Z165:Z166"/>
    <mergeCell ref="AA165:AA166"/>
    <mergeCell ref="AD165:AD166"/>
    <mergeCell ref="AE165:AE166"/>
    <mergeCell ref="A159:A160"/>
    <mergeCell ref="B159:B160"/>
    <mergeCell ref="Z159:Z160"/>
    <mergeCell ref="AA159:AA160"/>
    <mergeCell ref="AD159:AD160"/>
    <mergeCell ref="AE159:AE160"/>
    <mergeCell ref="A157:A158"/>
    <mergeCell ref="B157:B158"/>
    <mergeCell ref="Z157:Z158"/>
    <mergeCell ref="AA157:AA158"/>
    <mergeCell ref="AD157:AD158"/>
    <mergeCell ref="AE157:AE158"/>
    <mergeCell ref="A163:A164"/>
    <mergeCell ref="B163:B164"/>
    <mergeCell ref="Z163:Z164"/>
    <mergeCell ref="AA163:AA164"/>
    <mergeCell ref="AD163:AD164"/>
    <mergeCell ref="AE163:AE164"/>
    <mergeCell ref="A161:A162"/>
    <mergeCell ref="B161:B162"/>
    <mergeCell ref="Z161:Z162"/>
    <mergeCell ref="AA161:AA162"/>
    <mergeCell ref="AD161:AD162"/>
    <mergeCell ref="AE161:AE162"/>
    <mergeCell ref="A155:A156"/>
    <mergeCell ref="B155:B156"/>
    <mergeCell ref="Z155:Z156"/>
    <mergeCell ref="AA155:AA156"/>
    <mergeCell ref="AD155:AD156"/>
    <mergeCell ref="AE155:AE156"/>
    <mergeCell ref="A153:A154"/>
    <mergeCell ref="B153:B154"/>
    <mergeCell ref="Z153:Z154"/>
    <mergeCell ref="AA153:AA154"/>
    <mergeCell ref="AD153:AD154"/>
    <mergeCell ref="AE153:AE154"/>
    <mergeCell ref="A151:A152"/>
    <mergeCell ref="B151:B152"/>
    <mergeCell ref="Z151:Z152"/>
    <mergeCell ref="AA151:AA152"/>
    <mergeCell ref="AD151:AD152"/>
    <mergeCell ref="AE151:AE152"/>
    <mergeCell ref="A149:A150"/>
    <mergeCell ref="B149:B150"/>
    <mergeCell ref="Z149:Z150"/>
    <mergeCell ref="AA149:AA150"/>
    <mergeCell ref="AD149:AD150"/>
    <mergeCell ref="AE149:AE150"/>
    <mergeCell ref="AD145:AD146"/>
    <mergeCell ref="AE145:AE146"/>
    <mergeCell ref="A147:A148"/>
    <mergeCell ref="B147:B148"/>
    <mergeCell ref="Z147:Z148"/>
    <mergeCell ref="AA147:AA148"/>
    <mergeCell ref="AB147:AB148"/>
    <mergeCell ref="AC147:AC148"/>
    <mergeCell ref="AD147:AD148"/>
    <mergeCell ref="AE147:AE148"/>
    <mergeCell ref="A145:A146"/>
    <mergeCell ref="B145:B146"/>
    <mergeCell ref="Z145:Z146"/>
    <mergeCell ref="AA145:AA146"/>
    <mergeCell ref="AB145:AB146"/>
    <mergeCell ref="AC145:AC146"/>
    <mergeCell ref="AD141:AD142"/>
    <mergeCell ref="AE141:AE142"/>
    <mergeCell ref="A143:A144"/>
    <mergeCell ref="B143:B144"/>
    <mergeCell ref="Z143:Z144"/>
    <mergeCell ref="AA143:AA144"/>
    <mergeCell ref="AB143:AB144"/>
    <mergeCell ref="AC143:AC144"/>
    <mergeCell ref="AD143:AD144"/>
    <mergeCell ref="AE143:AE144"/>
    <mergeCell ref="A141:A142"/>
    <mergeCell ref="B141:B142"/>
    <mergeCell ref="Z141:Z142"/>
    <mergeCell ref="AA141:AA142"/>
    <mergeCell ref="AB141:AB142"/>
    <mergeCell ref="AC141:AC142"/>
    <mergeCell ref="AD137:AD138"/>
    <mergeCell ref="AE137:AE138"/>
    <mergeCell ref="A139:A140"/>
    <mergeCell ref="B139:B140"/>
    <mergeCell ref="Z139:Z140"/>
    <mergeCell ref="AA139:AA140"/>
    <mergeCell ref="AB139:AB140"/>
    <mergeCell ref="AC139:AC140"/>
    <mergeCell ref="AD139:AD140"/>
    <mergeCell ref="AE139:AE140"/>
    <mergeCell ref="A137:A138"/>
    <mergeCell ref="B137:B138"/>
    <mergeCell ref="Z137:Z138"/>
    <mergeCell ref="AA137:AA138"/>
    <mergeCell ref="AB137:AB138"/>
    <mergeCell ref="AC137:AC138"/>
    <mergeCell ref="A132:A133"/>
    <mergeCell ref="B132:B133"/>
    <mergeCell ref="C132:C133"/>
    <mergeCell ref="D132:D133"/>
    <mergeCell ref="N132:N133"/>
    <mergeCell ref="W132:W133"/>
    <mergeCell ref="AD132:AE132"/>
    <mergeCell ref="A135:A136"/>
    <mergeCell ref="B135:B136"/>
    <mergeCell ref="Z135:Z136"/>
    <mergeCell ref="AA135:AA136"/>
    <mergeCell ref="AB135:AB136"/>
    <mergeCell ref="AC135:AC136"/>
    <mergeCell ref="AD135:AD136"/>
    <mergeCell ref="AE135:AE136"/>
    <mergeCell ref="X132:X133"/>
    <mergeCell ref="Y132:Y133"/>
    <mergeCell ref="Z132:Z133"/>
    <mergeCell ref="AA132:AA133"/>
    <mergeCell ref="AB132:AB133"/>
    <mergeCell ref="AC132:AC133"/>
    <mergeCell ref="A121:A122"/>
    <mergeCell ref="B121:B122"/>
    <mergeCell ref="Z121:Z122"/>
    <mergeCell ref="AA121:AA122"/>
    <mergeCell ref="AB121:AB122"/>
    <mergeCell ref="AC121:AC122"/>
    <mergeCell ref="B127:B128"/>
    <mergeCell ref="C127:D127"/>
    <mergeCell ref="Z127:Z128"/>
    <mergeCell ref="C128:D128"/>
    <mergeCell ref="A119:A120"/>
    <mergeCell ref="B119:B120"/>
    <mergeCell ref="Z119:Z120"/>
    <mergeCell ref="AA119:AA120"/>
    <mergeCell ref="AB119:AB120"/>
    <mergeCell ref="AC119:AC120"/>
    <mergeCell ref="AD119:AD120"/>
    <mergeCell ref="AE119:AE120"/>
    <mergeCell ref="A125:A126"/>
    <mergeCell ref="B125:B126"/>
    <mergeCell ref="Z125:Z126"/>
    <mergeCell ref="AA125:AA126"/>
    <mergeCell ref="AD125:AD126"/>
    <mergeCell ref="AE125:AE126"/>
    <mergeCell ref="AD121:AD122"/>
    <mergeCell ref="AE121:AE122"/>
    <mergeCell ref="A123:A124"/>
    <mergeCell ref="B123:B124"/>
    <mergeCell ref="Z123:Z124"/>
    <mergeCell ref="AA123:AA124"/>
    <mergeCell ref="AB123:AB124"/>
    <mergeCell ref="AC123:AC124"/>
    <mergeCell ref="AD123:AD124"/>
    <mergeCell ref="AE123:AE124"/>
    <mergeCell ref="AC114:AC115"/>
    <mergeCell ref="AD114:AE114"/>
    <mergeCell ref="A117:A118"/>
    <mergeCell ref="B117:B118"/>
    <mergeCell ref="Z117:Z118"/>
    <mergeCell ref="AA117:AA118"/>
    <mergeCell ref="AB117:AB118"/>
    <mergeCell ref="AC117:AC118"/>
    <mergeCell ref="AD117:AD118"/>
    <mergeCell ref="N114:N115"/>
    <mergeCell ref="W114:W115"/>
    <mergeCell ref="X114:X115"/>
    <mergeCell ref="Y114:Y115"/>
    <mergeCell ref="Z114:Z115"/>
    <mergeCell ref="AA114:AA115"/>
    <mergeCell ref="AE117:AE118"/>
    <mergeCell ref="B109:B110"/>
    <mergeCell ref="C109:D109"/>
    <mergeCell ref="C110:D110"/>
    <mergeCell ref="A114:A115"/>
    <mergeCell ref="B114:B115"/>
    <mergeCell ref="C114:C115"/>
    <mergeCell ref="D114:D115"/>
    <mergeCell ref="AD105:AD106"/>
    <mergeCell ref="AE105:AE106"/>
    <mergeCell ref="A107:A108"/>
    <mergeCell ref="B107:B108"/>
    <mergeCell ref="Z107:Z108"/>
    <mergeCell ref="AA107:AA108"/>
    <mergeCell ref="AB107:AB108"/>
    <mergeCell ref="AC107:AC108"/>
    <mergeCell ref="AD107:AD108"/>
    <mergeCell ref="AE107:AE108"/>
    <mergeCell ref="A105:A106"/>
    <mergeCell ref="B105:B106"/>
    <mergeCell ref="Z105:Z106"/>
    <mergeCell ref="AA105:AA106"/>
    <mergeCell ref="AB105:AB106"/>
    <mergeCell ref="AC105:AC106"/>
    <mergeCell ref="AB114:AB115"/>
    <mergeCell ref="AD101:AD102"/>
    <mergeCell ref="AE101:AE102"/>
    <mergeCell ref="A103:A104"/>
    <mergeCell ref="B103:B104"/>
    <mergeCell ref="Z103:Z104"/>
    <mergeCell ref="AA103:AA104"/>
    <mergeCell ref="AB103:AB104"/>
    <mergeCell ref="AC103:AC104"/>
    <mergeCell ref="AD103:AD104"/>
    <mergeCell ref="AE103:AE104"/>
    <mergeCell ref="A101:A102"/>
    <mergeCell ref="B101:B102"/>
    <mergeCell ref="Z101:Z102"/>
    <mergeCell ref="AA101:AA102"/>
    <mergeCell ref="AB101:AB102"/>
    <mergeCell ref="AC101:AC102"/>
    <mergeCell ref="AD97:AD98"/>
    <mergeCell ref="AE97:AE98"/>
    <mergeCell ref="A99:A100"/>
    <mergeCell ref="B99:B100"/>
    <mergeCell ref="Z99:Z100"/>
    <mergeCell ref="AA99:AA100"/>
    <mergeCell ref="AB99:AB100"/>
    <mergeCell ref="AC99:AC100"/>
    <mergeCell ref="AD99:AD100"/>
    <mergeCell ref="AE99:AE100"/>
    <mergeCell ref="A97:A98"/>
    <mergeCell ref="B97:B98"/>
    <mergeCell ref="Z97:Z98"/>
    <mergeCell ref="AA97:AA98"/>
    <mergeCell ref="AB97:AB98"/>
    <mergeCell ref="AC97:AC98"/>
    <mergeCell ref="AD93:AD94"/>
    <mergeCell ref="AE93:AE94"/>
    <mergeCell ref="A95:A96"/>
    <mergeCell ref="B95:B96"/>
    <mergeCell ref="Z95:Z96"/>
    <mergeCell ref="AA95:AA96"/>
    <mergeCell ref="AB95:AB96"/>
    <mergeCell ref="AC95:AC96"/>
    <mergeCell ref="AD95:AD96"/>
    <mergeCell ref="AE95:AE96"/>
    <mergeCell ref="A93:A94"/>
    <mergeCell ref="B93:B94"/>
    <mergeCell ref="Z93:Z94"/>
    <mergeCell ref="AA93:AA94"/>
    <mergeCell ref="AB93:AB94"/>
    <mergeCell ref="AC93:AC94"/>
    <mergeCell ref="AD89:AD90"/>
    <mergeCell ref="AE89:AE90"/>
    <mergeCell ref="A91:A92"/>
    <mergeCell ref="B91:B92"/>
    <mergeCell ref="Z91:Z92"/>
    <mergeCell ref="AA91:AA92"/>
    <mergeCell ref="AB91:AB92"/>
    <mergeCell ref="AC91:AC92"/>
    <mergeCell ref="AD91:AD92"/>
    <mergeCell ref="AE91:AE92"/>
    <mergeCell ref="A89:A90"/>
    <mergeCell ref="B89:B90"/>
    <mergeCell ref="Z89:Z90"/>
    <mergeCell ref="AA89:AA90"/>
    <mergeCell ref="AB89:AB90"/>
    <mergeCell ref="AC89:AC90"/>
    <mergeCell ref="AD85:AD86"/>
    <mergeCell ref="AE85:AE86"/>
    <mergeCell ref="A87:A88"/>
    <mergeCell ref="B87:B88"/>
    <mergeCell ref="Z87:Z88"/>
    <mergeCell ref="AA87:AA88"/>
    <mergeCell ref="AB87:AB88"/>
    <mergeCell ref="AC87:AC88"/>
    <mergeCell ref="AD87:AD88"/>
    <mergeCell ref="AE87:AE88"/>
    <mergeCell ref="A85:A86"/>
    <mergeCell ref="B85:B86"/>
    <mergeCell ref="Z85:Z86"/>
    <mergeCell ref="AA85:AA86"/>
    <mergeCell ref="AB85:AB86"/>
    <mergeCell ref="AC85:AC86"/>
    <mergeCell ref="AD81:AD82"/>
    <mergeCell ref="AE81:AE82"/>
    <mergeCell ref="A83:A84"/>
    <mergeCell ref="B83:B84"/>
    <mergeCell ref="Z83:Z84"/>
    <mergeCell ref="AA83:AA84"/>
    <mergeCell ref="AB83:AB84"/>
    <mergeCell ref="AC83:AC84"/>
    <mergeCell ref="AD83:AD84"/>
    <mergeCell ref="AE83:AE84"/>
    <mergeCell ref="A81:A82"/>
    <mergeCell ref="B81:B82"/>
    <mergeCell ref="Z81:Z82"/>
    <mergeCell ref="AA81:AA82"/>
    <mergeCell ref="AB81:AB82"/>
    <mergeCell ref="AC81:AC82"/>
    <mergeCell ref="AD77:AD78"/>
    <mergeCell ref="AE77:AE78"/>
    <mergeCell ref="A79:A80"/>
    <mergeCell ref="B79:B80"/>
    <mergeCell ref="Z79:Z80"/>
    <mergeCell ref="AA79:AA80"/>
    <mergeCell ref="AB79:AB80"/>
    <mergeCell ref="AC79:AC80"/>
    <mergeCell ref="AD79:AD80"/>
    <mergeCell ref="AE79:AE80"/>
    <mergeCell ref="A77:A78"/>
    <mergeCell ref="B77:B78"/>
    <mergeCell ref="Z77:Z78"/>
    <mergeCell ref="AA77:AA78"/>
    <mergeCell ref="AB77:AB78"/>
    <mergeCell ref="AC77:AC78"/>
    <mergeCell ref="AD72:AE72"/>
    <mergeCell ref="A75:A76"/>
    <mergeCell ref="B75:B76"/>
    <mergeCell ref="Z75:Z76"/>
    <mergeCell ref="AA75:AA76"/>
    <mergeCell ref="AB75:AB76"/>
    <mergeCell ref="AC75:AC76"/>
    <mergeCell ref="AD75:AD76"/>
    <mergeCell ref="AE75:AE76"/>
    <mergeCell ref="X72:X73"/>
    <mergeCell ref="Y72:Y73"/>
    <mergeCell ref="Z72:Z73"/>
    <mergeCell ref="AA72:AA73"/>
    <mergeCell ref="AB72:AB73"/>
    <mergeCell ref="AC72:AC73"/>
    <mergeCell ref="A72:A73"/>
    <mergeCell ref="B72:B73"/>
    <mergeCell ref="C72:C73"/>
    <mergeCell ref="D72:D73"/>
    <mergeCell ref="N72:N73"/>
    <mergeCell ref="W72:W73"/>
    <mergeCell ref="AE65:AE66"/>
    <mergeCell ref="C66:D66"/>
    <mergeCell ref="B67:B68"/>
    <mergeCell ref="C67:D67"/>
    <mergeCell ref="Z67:Z68"/>
    <mergeCell ref="AB67:AB68"/>
    <mergeCell ref="AC67:AC68"/>
    <mergeCell ref="AD67:AD68"/>
    <mergeCell ref="AE67:AE68"/>
    <mergeCell ref="C68:D68"/>
    <mergeCell ref="B65:B66"/>
    <mergeCell ref="C65:D65"/>
    <mergeCell ref="Z65:Z66"/>
    <mergeCell ref="AB65:AB66"/>
    <mergeCell ref="AC65:AC66"/>
    <mergeCell ref="AD65:AD66"/>
    <mergeCell ref="AD59:AD60"/>
    <mergeCell ref="AE59:AE60"/>
    <mergeCell ref="A61:A62"/>
    <mergeCell ref="B61:B62"/>
    <mergeCell ref="Z61:Z62"/>
    <mergeCell ref="AA61:AA62"/>
    <mergeCell ref="AB61:AB62"/>
    <mergeCell ref="AC61:AC62"/>
    <mergeCell ref="AD61:AD62"/>
    <mergeCell ref="AE61:AE62"/>
    <mergeCell ref="A59:A60"/>
    <mergeCell ref="B59:B60"/>
    <mergeCell ref="Z59:Z60"/>
    <mergeCell ref="AA59:AA60"/>
    <mergeCell ref="AB59:AB60"/>
    <mergeCell ref="AC59:AC60"/>
    <mergeCell ref="A57:A58"/>
    <mergeCell ref="B57:B58"/>
    <mergeCell ref="Z57:Z58"/>
    <mergeCell ref="AA57:AA58"/>
    <mergeCell ref="AB57:AB58"/>
    <mergeCell ref="AC57:AC58"/>
    <mergeCell ref="AD57:AD58"/>
    <mergeCell ref="AE57:AE58"/>
    <mergeCell ref="A55:A56"/>
    <mergeCell ref="B55:B56"/>
    <mergeCell ref="Z55:Z56"/>
    <mergeCell ref="AA55:AA56"/>
    <mergeCell ref="AB55:AB56"/>
    <mergeCell ref="AC55:AC56"/>
    <mergeCell ref="A53:A54"/>
    <mergeCell ref="B53:B54"/>
    <mergeCell ref="Z53:Z54"/>
    <mergeCell ref="AA53:AA54"/>
    <mergeCell ref="AB53:AB54"/>
    <mergeCell ref="AC53:AC54"/>
    <mergeCell ref="AD53:AD54"/>
    <mergeCell ref="AE53:AE54"/>
    <mergeCell ref="AD55:AD56"/>
    <mergeCell ref="AE55:AE56"/>
    <mergeCell ref="AE47:AE48"/>
    <mergeCell ref="C48:D48"/>
    <mergeCell ref="A50:B50"/>
    <mergeCell ref="A51:A52"/>
    <mergeCell ref="B51:B52"/>
    <mergeCell ref="Z51:Z52"/>
    <mergeCell ref="AA51:AA52"/>
    <mergeCell ref="AB51:AB52"/>
    <mergeCell ref="AC51:AC52"/>
    <mergeCell ref="AD51:AD52"/>
    <mergeCell ref="B47:B48"/>
    <mergeCell ref="C47:D47"/>
    <mergeCell ref="Z47:Z48"/>
    <mergeCell ref="AB47:AB48"/>
    <mergeCell ref="AC47:AC48"/>
    <mergeCell ref="AD47:AD48"/>
    <mergeCell ref="AE51:AE52"/>
    <mergeCell ref="AD43:AD44"/>
    <mergeCell ref="AE43:AE44"/>
    <mergeCell ref="A45:A46"/>
    <mergeCell ref="B45:B46"/>
    <mergeCell ref="Z45:Z46"/>
    <mergeCell ref="AA45:AA46"/>
    <mergeCell ref="AB45:AB46"/>
    <mergeCell ref="AC45:AC46"/>
    <mergeCell ref="AD45:AD46"/>
    <mergeCell ref="AE45:AE46"/>
    <mergeCell ref="A43:A44"/>
    <mergeCell ref="B43:B44"/>
    <mergeCell ref="Z43:Z44"/>
    <mergeCell ref="AA43:AA44"/>
    <mergeCell ref="AB43:AB44"/>
    <mergeCell ref="AC43:AC44"/>
    <mergeCell ref="AD39:AD40"/>
    <mergeCell ref="AE39:AE40"/>
    <mergeCell ref="A41:A42"/>
    <mergeCell ref="B41:B42"/>
    <mergeCell ref="Z41:Z42"/>
    <mergeCell ref="AA41:AA42"/>
    <mergeCell ref="AB41:AB42"/>
    <mergeCell ref="AC41:AC42"/>
    <mergeCell ref="AD41:AD42"/>
    <mergeCell ref="AE41:AE42"/>
    <mergeCell ref="A39:A40"/>
    <mergeCell ref="B39:B40"/>
    <mergeCell ref="Z39:Z40"/>
    <mergeCell ref="AA39:AA40"/>
    <mergeCell ref="AB39:AB40"/>
    <mergeCell ref="AC39:AC40"/>
    <mergeCell ref="AD35:AD36"/>
    <mergeCell ref="AE35:AE36"/>
    <mergeCell ref="A37:A38"/>
    <mergeCell ref="B37:B38"/>
    <mergeCell ref="Z37:Z38"/>
    <mergeCell ref="AA37:AA38"/>
    <mergeCell ref="AB37:AB38"/>
    <mergeCell ref="AC37:AC38"/>
    <mergeCell ref="AD37:AD38"/>
    <mergeCell ref="AE37:AE38"/>
    <mergeCell ref="A35:A36"/>
    <mergeCell ref="B35:B36"/>
    <mergeCell ref="Z35:Z36"/>
    <mergeCell ref="AA35:AA36"/>
    <mergeCell ref="AB35:AB36"/>
    <mergeCell ref="AC35:AC36"/>
    <mergeCell ref="AD31:AD32"/>
    <mergeCell ref="AE31:AE32"/>
    <mergeCell ref="A33:A34"/>
    <mergeCell ref="B33:B34"/>
    <mergeCell ref="Z33:Z34"/>
    <mergeCell ref="AA33:AA34"/>
    <mergeCell ref="AB33:AB34"/>
    <mergeCell ref="AC33:AC34"/>
    <mergeCell ref="AD33:AD34"/>
    <mergeCell ref="AE33:AE34"/>
    <mergeCell ref="A31:A32"/>
    <mergeCell ref="B31:B32"/>
    <mergeCell ref="Z31:Z32"/>
    <mergeCell ref="AA31:AA32"/>
    <mergeCell ref="AB31:AB32"/>
    <mergeCell ref="AC31:AC32"/>
    <mergeCell ref="AD27:AD28"/>
    <mergeCell ref="AE27:AE28"/>
    <mergeCell ref="A29:A30"/>
    <mergeCell ref="B29:B30"/>
    <mergeCell ref="Z29:Z30"/>
    <mergeCell ref="AA29:AA30"/>
    <mergeCell ref="AB29:AB30"/>
    <mergeCell ref="AC29:AC30"/>
    <mergeCell ref="AD29:AD30"/>
    <mergeCell ref="AE29:AE30"/>
    <mergeCell ref="A27:A28"/>
    <mergeCell ref="B27:B28"/>
    <mergeCell ref="Z27:Z28"/>
    <mergeCell ref="AA27:AA28"/>
    <mergeCell ref="AB27:AB28"/>
    <mergeCell ref="AC27:AC28"/>
    <mergeCell ref="AD23:AD24"/>
    <mergeCell ref="AE23:AE24"/>
    <mergeCell ref="A25:A26"/>
    <mergeCell ref="B25:B26"/>
    <mergeCell ref="Z25:Z26"/>
    <mergeCell ref="AA25:AA26"/>
    <mergeCell ref="AB25:AB26"/>
    <mergeCell ref="AC25:AC26"/>
    <mergeCell ref="AD25:AD26"/>
    <mergeCell ref="AE25:AE26"/>
    <mergeCell ref="A23:A24"/>
    <mergeCell ref="B23:B24"/>
    <mergeCell ref="Z23:Z24"/>
    <mergeCell ref="AA23:AA24"/>
    <mergeCell ref="AB23:AB24"/>
    <mergeCell ref="AC23:AC24"/>
    <mergeCell ref="AD19:AD20"/>
    <mergeCell ref="AE19:AE20"/>
    <mergeCell ref="A21:A22"/>
    <mergeCell ref="B21:B22"/>
    <mergeCell ref="Z21:Z22"/>
    <mergeCell ref="AA21:AA22"/>
    <mergeCell ref="AB21:AB22"/>
    <mergeCell ref="AC21:AC22"/>
    <mergeCell ref="AD21:AD22"/>
    <mergeCell ref="AE21:AE22"/>
    <mergeCell ref="A19:A20"/>
    <mergeCell ref="B19:B20"/>
    <mergeCell ref="Z19:Z20"/>
    <mergeCell ref="AA19:AA20"/>
    <mergeCell ref="AB19:AB20"/>
    <mergeCell ref="AC19:AC20"/>
    <mergeCell ref="AD15:AD16"/>
    <mergeCell ref="AE15:AE16"/>
    <mergeCell ref="A17:A18"/>
    <mergeCell ref="B17:B18"/>
    <mergeCell ref="Z17:Z18"/>
    <mergeCell ref="AA17:AA18"/>
    <mergeCell ref="AB17:AB18"/>
    <mergeCell ref="AC17:AC18"/>
    <mergeCell ref="AD17:AD18"/>
    <mergeCell ref="AE17:AE18"/>
    <mergeCell ref="A15:A16"/>
    <mergeCell ref="B15:B16"/>
    <mergeCell ref="Z15:Z16"/>
    <mergeCell ref="AA15:AA16"/>
    <mergeCell ref="AB15:AB16"/>
    <mergeCell ref="AC15:AC16"/>
    <mergeCell ref="A13:A14"/>
    <mergeCell ref="B13:B14"/>
    <mergeCell ref="Z13:Z14"/>
    <mergeCell ref="AA13:AA14"/>
    <mergeCell ref="AB13:AB14"/>
    <mergeCell ref="AC13:AC14"/>
    <mergeCell ref="AD13:AD14"/>
    <mergeCell ref="AE13:AE14"/>
    <mergeCell ref="A11:A12"/>
    <mergeCell ref="B11:B12"/>
    <mergeCell ref="Z11:Z12"/>
    <mergeCell ref="AA11:AA12"/>
    <mergeCell ref="AB11:AB12"/>
    <mergeCell ref="AC11:AC12"/>
    <mergeCell ref="A9:A10"/>
    <mergeCell ref="B9:B10"/>
    <mergeCell ref="Z9:Z10"/>
    <mergeCell ref="AA9:AA10"/>
    <mergeCell ref="AB9:AB10"/>
    <mergeCell ref="AC9:AC10"/>
    <mergeCell ref="AD9:AD10"/>
    <mergeCell ref="AE9:AE10"/>
    <mergeCell ref="AD11:AD12"/>
    <mergeCell ref="AE11:AE12"/>
    <mergeCell ref="AB4:AB5"/>
    <mergeCell ref="AC4:AC5"/>
    <mergeCell ref="AD4:AE4"/>
    <mergeCell ref="A7:A8"/>
    <mergeCell ref="B7:B8"/>
    <mergeCell ref="Z7:Z8"/>
    <mergeCell ref="AA7:AA8"/>
    <mergeCell ref="AB7:AB8"/>
    <mergeCell ref="AC7:AC8"/>
    <mergeCell ref="AD7:AD8"/>
    <mergeCell ref="O4:U4"/>
    <mergeCell ref="W4:W5"/>
    <mergeCell ref="X4:X5"/>
    <mergeCell ref="Y4:Y5"/>
    <mergeCell ref="Z4:Z5"/>
    <mergeCell ref="AA4:AA5"/>
    <mergeCell ref="A4:A5"/>
    <mergeCell ref="B4:B5"/>
    <mergeCell ref="C4:C5"/>
    <mergeCell ref="D4:D5"/>
    <mergeCell ref="E4:L4"/>
    <mergeCell ref="N4:N5"/>
    <mergeCell ref="AE7:AE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Наставни ансамбл</vt:lpstr>
      <vt:lpstr>Оптерећење са мастером укупно</vt:lpstr>
      <vt:lpstr>Оптерећење без мастера укупно</vt:lpstr>
      <vt:lpstr>Оптерећење без мастера </vt:lpstr>
      <vt:lpstr>'Наставни ансамбл'!Print_Area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2025-09-29T11:19:10Z</dcterms:modified>
</cp:coreProperties>
</file>